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santiagomurcia/Downloads/"/>
    </mc:Choice>
  </mc:AlternateContent>
  <xr:revisionPtr revIDLastSave="0" documentId="13_ncr:1_{59A4E464-1ABC-144C-BD34-8027AD90BFDF}" xr6:coauthVersionLast="47" xr6:coauthVersionMax="47" xr10:uidLastSave="{00000000-0000-0000-0000-000000000000}"/>
  <bookViews>
    <workbookView xWindow="0" yWindow="0" windowWidth="28800" windowHeight="18000" tabRatio="500" activeTab="3" xr2:uid="{00000000-000D-0000-FFFF-FFFF00000000}"/>
  </bookViews>
  <sheets>
    <sheet name="Supuestos" sheetId="1" r:id="rId1"/>
    <sheet name="M2_Historico" sheetId="2" r:id="rId2"/>
    <sheet name="M2_Proyeccion" sheetId="3" r:id="rId3"/>
    <sheet name="M2 PROYECTADO NUEVO" sheetId="6" r:id="rId4"/>
    <sheet name="Escenarios" sheetId="4" r:id="rId5"/>
    <sheet name="Dashboard" sheetId="7" r:id="rId6"/>
    <sheet name="Glosario" sheetId="5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3" i="6" l="1"/>
  <c r="N12" i="6"/>
  <c r="M13" i="6"/>
  <c r="L12" i="6"/>
  <c r="K12" i="6"/>
  <c r="J13" i="6"/>
  <c r="Q39" i="7"/>
  <c r="P39" i="7"/>
  <c r="Q38" i="7"/>
  <c r="P38" i="7"/>
  <c r="Q37" i="7"/>
  <c r="P37" i="7"/>
  <c r="Q36" i="7"/>
  <c r="P36" i="7"/>
  <c r="Q35" i="7"/>
  <c r="P35" i="7"/>
  <c r="Q34" i="7"/>
  <c r="P34" i="7"/>
  <c r="Q33" i="7"/>
  <c r="P33" i="7"/>
  <c r="Q32" i="7"/>
  <c r="P32" i="7"/>
  <c r="Q31" i="7"/>
  <c r="P31" i="7"/>
  <c r="Q30" i="7"/>
  <c r="P30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H39" i="7"/>
  <c r="H38" i="7"/>
  <c r="H37" i="7"/>
  <c r="H36" i="7"/>
  <c r="H35" i="7"/>
  <c r="H34" i="7"/>
  <c r="H33" i="7"/>
  <c r="H32" i="7"/>
  <c r="H31" i="7"/>
  <c r="H30" i="7"/>
  <c r="F42" i="7"/>
  <c r="B42" i="7"/>
  <c r="F41" i="7"/>
  <c r="B41" i="7"/>
  <c r="F40" i="7"/>
  <c r="B40" i="7"/>
  <c r="F39" i="7"/>
  <c r="E39" i="7"/>
  <c r="D39" i="7"/>
  <c r="C39" i="7"/>
  <c r="B39" i="7"/>
  <c r="F38" i="7"/>
  <c r="E38" i="7"/>
  <c r="D38" i="7"/>
  <c r="C38" i="7"/>
  <c r="B38" i="7"/>
  <c r="F37" i="7"/>
  <c r="E37" i="7"/>
  <c r="D37" i="7"/>
  <c r="C37" i="7"/>
  <c r="B37" i="7"/>
  <c r="F36" i="7"/>
  <c r="E36" i="7"/>
  <c r="D36" i="7"/>
  <c r="C36" i="7"/>
  <c r="B36" i="7"/>
  <c r="F35" i="7"/>
  <c r="E35" i="7"/>
  <c r="D35" i="7"/>
  <c r="C35" i="7"/>
  <c r="B35" i="7"/>
  <c r="F34" i="7"/>
  <c r="E34" i="7"/>
  <c r="D34" i="7"/>
  <c r="C34" i="7"/>
  <c r="B34" i="7"/>
  <c r="F33" i="7"/>
  <c r="E33" i="7"/>
  <c r="D33" i="7"/>
  <c r="C33" i="7"/>
  <c r="B33" i="7"/>
  <c r="F32" i="7"/>
  <c r="E32" i="7"/>
  <c r="D32" i="7"/>
  <c r="C32" i="7"/>
  <c r="B32" i="7"/>
  <c r="F31" i="7"/>
  <c r="E31" i="7"/>
  <c r="D31" i="7"/>
  <c r="C31" i="7"/>
  <c r="B31" i="7"/>
  <c r="F30" i="7"/>
  <c r="E30" i="7"/>
  <c r="D30" i="7"/>
  <c r="C30" i="7"/>
  <c r="B30" i="7"/>
  <c r="B17" i="7"/>
  <c r="B16" i="7"/>
  <c r="B15" i="7"/>
  <c r="B14" i="7"/>
  <c r="D10" i="7"/>
  <c r="C10" i="7"/>
  <c r="B10" i="7"/>
  <c r="I71" i="6"/>
  <c r="P42" i="7" s="1"/>
  <c r="I70" i="6"/>
  <c r="I69" i="6"/>
  <c r="I68" i="6"/>
  <c r="P41" i="7" s="1"/>
  <c r="I67" i="6"/>
  <c r="I66" i="6"/>
  <c r="I65" i="6"/>
  <c r="P40" i="7" s="1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P71" i="6"/>
  <c r="P70" i="6"/>
  <c r="P69" i="6"/>
  <c r="P68" i="6"/>
  <c r="P67" i="6"/>
  <c r="P66" i="6"/>
  <c r="P65" i="6"/>
  <c r="P64" i="6"/>
  <c r="P63" i="6"/>
  <c r="O14" i="6"/>
  <c r="O15" i="6" s="1"/>
  <c r="O16" i="6" s="1"/>
  <c r="O17" i="6" s="1"/>
  <c r="O18" i="6" s="1"/>
  <c r="O19" i="6" s="1"/>
  <c r="O20" i="6" s="1"/>
  <c r="O21" i="6" s="1"/>
  <c r="O22" i="6" s="1"/>
  <c r="O23" i="6" s="1"/>
  <c r="O24" i="6" s="1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O37" i="6" s="1"/>
  <c r="O38" i="6" s="1"/>
  <c r="O39" i="6" s="1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O54" i="6" s="1"/>
  <c r="O55" i="6" s="1"/>
  <c r="O56" i="6" s="1"/>
  <c r="O57" i="6" s="1"/>
  <c r="O58" i="6" s="1"/>
  <c r="O59" i="6" s="1"/>
  <c r="O60" i="6" s="1"/>
  <c r="O61" i="6" s="1"/>
  <c r="O62" i="6" s="1"/>
  <c r="O63" i="6" s="1"/>
  <c r="O64" i="6" s="1"/>
  <c r="O65" i="6" s="1"/>
  <c r="N14" i="6"/>
  <c r="N15" i="6" s="1"/>
  <c r="N16" i="6" s="1"/>
  <c r="N17" i="6" s="1"/>
  <c r="N18" i="6" s="1"/>
  <c r="N19" i="6" s="1"/>
  <c r="N20" i="6" s="1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J14" i="6"/>
  <c r="P13" i="6"/>
  <c r="O13" i="6"/>
  <c r="L13" i="6"/>
  <c r="K13" i="6"/>
  <c r="O12" i="6"/>
  <c r="J12" i="6"/>
  <c r="F66" i="6"/>
  <c r="F69" i="6" s="1"/>
  <c r="F65" i="6"/>
  <c r="F68" i="6" s="1"/>
  <c r="F71" i="6" s="1"/>
  <c r="G64" i="6"/>
  <c r="G65" i="6" s="1"/>
  <c r="G66" i="6" s="1"/>
  <c r="G67" i="6" s="1"/>
  <c r="G68" i="6" s="1"/>
  <c r="G69" i="6" s="1"/>
  <c r="G70" i="6" s="1"/>
  <c r="G71" i="6" s="1"/>
  <c r="F64" i="6"/>
  <c r="F67" i="6" s="1"/>
  <c r="F70" i="6" s="1"/>
  <c r="G63" i="6"/>
  <c r="F63" i="6"/>
  <c r="F62" i="6"/>
  <c r="H62" i="6" s="1"/>
  <c r="F61" i="6"/>
  <c r="F60" i="6"/>
  <c r="F59" i="6"/>
  <c r="H59" i="6" s="1"/>
  <c r="F58" i="6"/>
  <c r="F57" i="6"/>
  <c r="H57" i="6" s="1"/>
  <c r="H47" i="6"/>
  <c r="H48" i="6"/>
  <c r="H49" i="6"/>
  <c r="H50" i="6"/>
  <c r="H51" i="6"/>
  <c r="H52" i="6"/>
  <c r="H53" i="6"/>
  <c r="H54" i="6"/>
  <c r="H55" i="6"/>
  <c r="H56" i="6"/>
  <c r="H58" i="6"/>
  <c r="G12" i="6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B19" i="1"/>
  <c r="J8" i="3"/>
  <c r="J7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F56" i="6"/>
  <c r="F55" i="6"/>
  <c r="F54" i="6"/>
  <c r="F53" i="6"/>
  <c r="F52" i="6"/>
  <c r="F51" i="6"/>
  <c r="F50" i="6"/>
  <c r="F49" i="6"/>
  <c r="F48" i="6"/>
  <c r="F47" i="6"/>
  <c r="F46" i="6"/>
  <c r="H46" i="6" s="1"/>
  <c r="F45" i="6"/>
  <c r="H45" i="6" s="1"/>
  <c r="F44" i="6"/>
  <c r="H44" i="6" s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F27" i="6"/>
  <c r="H27" i="6" s="1"/>
  <c r="F26" i="6"/>
  <c r="H26" i="6" s="1"/>
  <c r="F25" i="6"/>
  <c r="H25" i="6" s="1"/>
  <c r="F24" i="6"/>
  <c r="H24" i="6" s="1"/>
  <c r="F23" i="6"/>
  <c r="H23" i="6" s="1"/>
  <c r="F22" i="6"/>
  <c r="H22" i="6" s="1"/>
  <c r="F21" i="6"/>
  <c r="H21" i="6" s="1"/>
  <c r="F20" i="6"/>
  <c r="H20" i="6" s="1"/>
  <c r="F19" i="6"/>
  <c r="H19" i="6" s="1"/>
  <c r="F18" i="6"/>
  <c r="H18" i="6" s="1"/>
  <c r="F17" i="6"/>
  <c r="H17" i="6" s="1"/>
  <c r="F16" i="6"/>
  <c r="H16" i="6" s="1"/>
  <c r="F15" i="6"/>
  <c r="H15" i="6" s="1"/>
  <c r="F14" i="6"/>
  <c r="H14" i="6" s="1"/>
  <c r="F13" i="6"/>
  <c r="H13" i="6" s="1"/>
  <c r="F12" i="6"/>
  <c r="H12" i="6" s="1"/>
  <c r="I7" i="2"/>
  <c r="L54" i="3"/>
  <c r="L53" i="3"/>
  <c r="L57" i="3" s="1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D7" i="3"/>
  <c r="F7" i="3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I6" i="2"/>
  <c r="G6" i="2"/>
  <c r="J6" i="2" s="1"/>
  <c r="F63" i="3"/>
  <c r="D63" i="3"/>
  <c r="E63" i="3" s="1"/>
  <c r="B63" i="3"/>
  <c r="F62" i="3"/>
  <c r="D62" i="3"/>
  <c r="E62" i="3" s="1"/>
  <c r="B62" i="3"/>
  <c r="E61" i="3"/>
  <c r="C61" i="3"/>
  <c r="D6" i="2"/>
  <c r="H6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H52" i="2"/>
  <c r="H56" i="2" s="1"/>
  <c r="H53" i="2"/>
  <c r="H51" i="2"/>
  <c r="H54" i="2" s="1"/>
  <c r="O50" i="2"/>
  <c r="O54" i="2" s="1"/>
  <c r="H55" i="2"/>
  <c r="H43" i="2"/>
  <c r="H44" i="2"/>
  <c r="H42" i="2"/>
  <c r="H46" i="2"/>
  <c r="H47" i="2"/>
  <c r="H45" i="2"/>
  <c r="H49" i="2"/>
  <c r="H50" i="2"/>
  <c r="H48" i="2"/>
  <c r="H13" i="2"/>
  <c r="H14" i="2"/>
  <c r="H12" i="2"/>
  <c r="H10" i="2"/>
  <c r="H11" i="2"/>
  <c r="H9" i="2"/>
  <c r="H7" i="2"/>
  <c r="H8" i="2"/>
  <c r="H16" i="2"/>
  <c r="H17" i="2"/>
  <c r="H15" i="2"/>
  <c r="H28" i="2"/>
  <c r="H29" i="2"/>
  <c r="H27" i="2"/>
  <c r="H25" i="2"/>
  <c r="H26" i="2"/>
  <c r="H24" i="2"/>
  <c r="H22" i="2"/>
  <c r="H23" i="2"/>
  <c r="H21" i="2"/>
  <c r="H19" i="2"/>
  <c r="H20" i="2"/>
  <c r="H18" i="2"/>
  <c r="H37" i="2"/>
  <c r="H38" i="2"/>
  <c r="H36" i="2"/>
  <c r="H34" i="2"/>
  <c r="H35" i="2"/>
  <c r="H33" i="2"/>
  <c r="H31" i="2"/>
  <c r="H32" i="2"/>
  <c r="H30" i="2"/>
  <c r="H41" i="2"/>
  <c r="H40" i="2"/>
  <c r="H39" i="2"/>
  <c r="D12" i="1"/>
  <c r="C12" i="1"/>
  <c r="B12" i="1"/>
  <c r="H6" i="3"/>
  <c r="E6" i="3"/>
  <c r="K55" i="2"/>
  <c r="G55" i="2"/>
  <c r="J55" i="2" s="1"/>
  <c r="D55" i="2"/>
  <c r="K54" i="2"/>
  <c r="G54" i="2"/>
  <c r="J54" i="2" s="1"/>
  <c r="D54" i="2"/>
  <c r="K53" i="2"/>
  <c r="G53" i="2"/>
  <c r="J53" i="2" s="1"/>
  <c r="D53" i="2"/>
  <c r="K52" i="2"/>
  <c r="G52" i="2"/>
  <c r="J52" i="2" s="1"/>
  <c r="D52" i="2"/>
  <c r="K51" i="2"/>
  <c r="G51" i="2"/>
  <c r="J51" i="2" s="1"/>
  <c r="D51" i="2"/>
  <c r="K50" i="2"/>
  <c r="G50" i="2"/>
  <c r="J50" i="2" s="1"/>
  <c r="D50" i="2"/>
  <c r="K49" i="2"/>
  <c r="G49" i="2"/>
  <c r="J49" i="2" s="1"/>
  <c r="D49" i="2"/>
  <c r="K48" i="2"/>
  <c r="G48" i="2"/>
  <c r="J48" i="2" s="1"/>
  <c r="D48" i="2"/>
  <c r="K47" i="2"/>
  <c r="G47" i="2"/>
  <c r="J47" i="2" s="1"/>
  <c r="D47" i="2"/>
  <c r="K46" i="2"/>
  <c r="G46" i="2"/>
  <c r="J46" i="2" s="1"/>
  <c r="D46" i="2"/>
  <c r="K45" i="2"/>
  <c r="G45" i="2"/>
  <c r="J45" i="2" s="1"/>
  <c r="D45" i="2"/>
  <c r="K44" i="2"/>
  <c r="G44" i="2"/>
  <c r="J44" i="2" s="1"/>
  <c r="D44" i="2"/>
  <c r="K43" i="2"/>
  <c r="G43" i="2"/>
  <c r="J43" i="2" s="1"/>
  <c r="D43" i="2"/>
  <c r="K42" i="2"/>
  <c r="G42" i="2"/>
  <c r="J42" i="2" s="1"/>
  <c r="D42" i="2"/>
  <c r="K41" i="2"/>
  <c r="G41" i="2"/>
  <c r="J41" i="2" s="1"/>
  <c r="D41" i="2"/>
  <c r="K40" i="2"/>
  <c r="G40" i="2"/>
  <c r="J40" i="2" s="1"/>
  <c r="D40" i="2"/>
  <c r="K39" i="2"/>
  <c r="G39" i="2"/>
  <c r="J39" i="2" s="1"/>
  <c r="D39" i="2"/>
  <c r="K38" i="2"/>
  <c r="G38" i="2"/>
  <c r="J38" i="2" s="1"/>
  <c r="D38" i="2"/>
  <c r="K37" i="2"/>
  <c r="G37" i="2"/>
  <c r="J37" i="2" s="1"/>
  <c r="D37" i="2"/>
  <c r="K36" i="2"/>
  <c r="G36" i="2"/>
  <c r="J36" i="2" s="1"/>
  <c r="D36" i="2"/>
  <c r="K35" i="2"/>
  <c r="G35" i="2"/>
  <c r="J35" i="2" s="1"/>
  <c r="D35" i="2"/>
  <c r="K34" i="2"/>
  <c r="G34" i="2"/>
  <c r="J34" i="2" s="1"/>
  <c r="D34" i="2"/>
  <c r="K33" i="2"/>
  <c r="G33" i="2"/>
  <c r="J33" i="2" s="1"/>
  <c r="D33" i="2"/>
  <c r="K32" i="2"/>
  <c r="G32" i="2"/>
  <c r="J32" i="2" s="1"/>
  <c r="D32" i="2"/>
  <c r="K31" i="2"/>
  <c r="G31" i="2"/>
  <c r="J31" i="2" s="1"/>
  <c r="D31" i="2"/>
  <c r="K30" i="2"/>
  <c r="G30" i="2"/>
  <c r="J30" i="2" s="1"/>
  <c r="D30" i="2"/>
  <c r="K29" i="2"/>
  <c r="G29" i="2"/>
  <c r="J29" i="2" s="1"/>
  <c r="D29" i="2"/>
  <c r="K28" i="2"/>
  <c r="G28" i="2"/>
  <c r="J28" i="2" s="1"/>
  <c r="D28" i="2"/>
  <c r="K27" i="2"/>
  <c r="G27" i="2"/>
  <c r="J27" i="2" s="1"/>
  <c r="D27" i="2"/>
  <c r="K26" i="2"/>
  <c r="G26" i="2"/>
  <c r="J26" i="2" s="1"/>
  <c r="D26" i="2"/>
  <c r="K25" i="2"/>
  <c r="G25" i="2"/>
  <c r="J25" i="2" s="1"/>
  <c r="D25" i="2"/>
  <c r="K24" i="2"/>
  <c r="G24" i="2"/>
  <c r="J24" i="2" s="1"/>
  <c r="D24" i="2"/>
  <c r="K23" i="2"/>
  <c r="G23" i="2"/>
  <c r="J23" i="2" s="1"/>
  <c r="D23" i="2"/>
  <c r="K22" i="2"/>
  <c r="G22" i="2"/>
  <c r="J22" i="2" s="1"/>
  <c r="D22" i="2"/>
  <c r="K21" i="2"/>
  <c r="G21" i="2"/>
  <c r="J21" i="2" s="1"/>
  <c r="D21" i="2"/>
  <c r="K20" i="2"/>
  <c r="G20" i="2"/>
  <c r="J20" i="2" s="1"/>
  <c r="D20" i="2"/>
  <c r="K19" i="2"/>
  <c r="G19" i="2"/>
  <c r="J19" i="2" s="1"/>
  <c r="D19" i="2"/>
  <c r="K18" i="2"/>
  <c r="G18" i="2"/>
  <c r="J18" i="2" s="1"/>
  <c r="D18" i="2"/>
  <c r="K17" i="2"/>
  <c r="G17" i="2"/>
  <c r="J17" i="2" s="1"/>
  <c r="D17" i="2"/>
  <c r="K16" i="2"/>
  <c r="G16" i="2"/>
  <c r="J16" i="2" s="1"/>
  <c r="D16" i="2"/>
  <c r="K15" i="2"/>
  <c r="G15" i="2"/>
  <c r="J15" i="2" s="1"/>
  <c r="D15" i="2"/>
  <c r="K14" i="2"/>
  <c r="G14" i="2"/>
  <c r="J14" i="2" s="1"/>
  <c r="D14" i="2"/>
  <c r="K13" i="2"/>
  <c r="G13" i="2"/>
  <c r="J13" i="2" s="1"/>
  <c r="D13" i="2"/>
  <c r="K12" i="2"/>
  <c r="G12" i="2"/>
  <c r="J12" i="2" s="1"/>
  <c r="D12" i="2"/>
  <c r="K11" i="2"/>
  <c r="G11" i="2"/>
  <c r="J11" i="2" s="1"/>
  <c r="D11" i="2"/>
  <c r="K10" i="2"/>
  <c r="G10" i="2"/>
  <c r="J10" i="2" s="1"/>
  <c r="D10" i="2"/>
  <c r="K9" i="2"/>
  <c r="G9" i="2"/>
  <c r="J9" i="2" s="1"/>
  <c r="D9" i="2"/>
  <c r="K8" i="2"/>
  <c r="G8" i="2"/>
  <c r="J8" i="2" s="1"/>
  <c r="D8" i="2"/>
  <c r="K7" i="2"/>
  <c r="G7" i="2"/>
  <c r="J7" i="2" s="1"/>
  <c r="D7" i="2"/>
  <c r="D19" i="1"/>
  <c r="C19" i="1"/>
  <c r="C8" i="1"/>
  <c r="N66" i="6" l="1"/>
  <c r="N67" i="6" s="1"/>
  <c r="N68" i="6" s="1"/>
  <c r="D40" i="7"/>
  <c r="O66" i="6"/>
  <c r="O67" i="6" s="1"/>
  <c r="O68" i="6" s="1"/>
  <c r="E40" i="7"/>
  <c r="J15" i="6"/>
  <c r="P14" i="6"/>
  <c r="M14" i="6"/>
  <c r="L14" i="6"/>
  <c r="K14" i="6"/>
  <c r="H61" i="6"/>
  <c r="H60" i="6"/>
  <c r="L56" i="3"/>
  <c r="L55" i="3"/>
  <c r="C63" i="3"/>
  <c r="G63" i="3"/>
  <c r="G62" i="3"/>
  <c r="C62" i="3"/>
  <c r="H62" i="3" s="1"/>
  <c r="E7" i="3"/>
  <c r="I7" i="3"/>
  <c r="D8" i="3"/>
  <c r="H7" i="3"/>
  <c r="D41" i="7" l="1"/>
  <c r="N69" i="6"/>
  <c r="N70" i="6" s="1"/>
  <c r="N71" i="6" s="1"/>
  <c r="E41" i="7"/>
  <c r="O69" i="6"/>
  <c r="O70" i="6" s="1"/>
  <c r="O71" i="6" s="1"/>
  <c r="K15" i="6"/>
  <c r="L15" i="6"/>
  <c r="M15" i="6"/>
  <c r="P15" i="6"/>
  <c r="J16" i="6"/>
  <c r="H63" i="3"/>
  <c r="E8" i="3"/>
  <c r="H8" i="3"/>
  <c r="D9" i="3"/>
  <c r="I8" i="3"/>
  <c r="C6" i="7" l="1"/>
  <c r="C8" i="7" s="1"/>
  <c r="C7" i="7"/>
  <c r="D42" i="7"/>
  <c r="D6" i="7"/>
  <c r="D8" i="7" s="1"/>
  <c r="D7" i="7"/>
  <c r="E42" i="7"/>
  <c r="K16" i="6"/>
  <c r="L16" i="6"/>
  <c r="M16" i="6"/>
  <c r="P16" i="6"/>
  <c r="J17" i="6"/>
  <c r="E9" i="3"/>
  <c r="H9" i="3"/>
  <c r="I9" i="3"/>
  <c r="D10" i="3"/>
  <c r="K17" i="6" l="1"/>
  <c r="L17" i="6"/>
  <c r="M17" i="6"/>
  <c r="P17" i="6"/>
  <c r="J18" i="6"/>
  <c r="D11" i="3"/>
  <c r="H10" i="3"/>
  <c r="I10" i="3"/>
  <c r="E10" i="3"/>
  <c r="K18" i="6" l="1"/>
  <c r="L18" i="6"/>
  <c r="M18" i="6"/>
  <c r="P18" i="6"/>
  <c r="J19" i="6"/>
  <c r="E11" i="3"/>
  <c r="H11" i="3"/>
  <c r="I11" i="3"/>
  <c r="D12" i="3"/>
  <c r="K19" i="6" l="1"/>
  <c r="L19" i="6"/>
  <c r="M19" i="6"/>
  <c r="P19" i="6"/>
  <c r="J20" i="6"/>
  <c r="H12" i="3"/>
  <c r="D13" i="3"/>
  <c r="E12" i="3"/>
  <c r="I12" i="3"/>
  <c r="K20" i="6" l="1"/>
  <c r="L20" i="6"/>
  <c r="M20" i="6"/>
  <c r="P20" i="6"/>
  <c r="J21" i="6"/>
  <c r="H13" i="3"/>
  <c r="I13" i="3"/>
  <c r="E13" i="3"/>
  <c r="D14" i="3"/>
  <c r="K21" i="6" l="1"/>
  <c r="L21" i="6"/>
  <c r="M21" i="6"/>
  <c r="P21" i="6"/>
  <c r="J22" i="6"/>
  <c r="E14" i="3"/>
  <c r="H14" i="3"/>
  <c r="D15" i="3"/>
  <c r="I14" i="3"/>
  <c r="K22" i="6" l="1"/>
  <c r="L22" i="6"/>
  <c r="M22" i="6"/>
  <c r="P22" i="6"/>
  <c r="J23" i="6"/>
  <c r="E15" i="3"/>
  <c r="H15" i="3"/>
  <c r="D16" i="3"/>
  <c r="I15" i="3"/>
  <c r="K23" i="6" l="1"/>
  <c r="L23" i="6"/>
  <c r="M23" i="6"/>
  <c r="P23" i="6"/>
  <c r="J24" i="6"/>
  <c r="E16" i="3"/>
  <c r="H16" i="3"/>
  <c r="D17" i="3"/>
  <c r="I16" i="3"/>
  <c r="K24" i="6" l="1"/>
  <c r="L24" i="6"/>
  <c r="M24" i="6"/>
  <c r="P24" i="6"/>
  <c r="J25" i="6"/>
  <c r="E17" i="3"/>
  <c r="H17" i="3"/>
  <c r="I17" i="3"/>
  <c r="D18" i="3"/>
  <c r="K25" i="6" l="1"/>
  <c r="L25" i="6"/>
  <c r="M25" i="6"/>
  <c r="P25" i="6"/>
  <c r="J26" i="6"/>
  <c r="H18" i="3"/>
  <c r="E18" i="3"/>
  <c r="I18" i="3"/>
  <c r="D19" i="3"/>
  <c r="K26" i="6" l="1"/>
  <c r="L26" i="6"/>
  <c r="M26" i="6"/>
  <c r="P26" i="6"/>
  <c r="J27" i="6"/>
  <c r="H19" i="3"/>
  <c r="D20" i="3"/>
  <c r="E19" i="3"/>
  <c r="I19" i="3"/>
  <c r="K27" i="6" l="1"/>
  <c r="L27" i="6"/>
  <c r="M27" i="6"/>
  <c r="P27" i="6"/>
  <c r="J28" i="6"/>
  <c r="H20" i="3"/>
  <c r="D21" i="3"/>
  <c r="E20" i="3"/>
  <c r="I20" i="3"/>
  <c r="K28" i="6" l="1"/>
  <c r="L28" i="6"/>
  <c r="M28" i="6"/>
  <c r="P28" i="6"/>
  <c r="J29" i="6"/>
  <c r="E21" i="3"/>
  <c r="H21" i="3"/>
  <c r="I21" i="3"/>
  <c r="D22" i="3"/>
  <c r="K29" i="6" l="1"/>
  <c r="L29" i="6"/>
  <c r="M29" i="6"/>
  <c r="P29" i="6"/>
  <c r="J30" i="6"/>
  <c r="H22" i="3"/>
  <c r="I22" i="3"/>
  <c r="E22" i="3"/>
  <c r="D23" i="3"/>
  <c r="K30" i="6" l="1"/>
  <c r="L30" i="6"/>
  <c r="M30" i="6"/>
  <c r="P30" i="6"/>
  <c r="J31" i="6"/>
  <c r="E23" i="3"/>
  <c r="H23" i="3"/>
  <c r="I23" i="3"/>
  <c r="D24" i="3"/>
  <c r="K31" i="6" l="1"/>
  <c r="L31" i="6"/>
  <c r="M31" i="6"/>
  <c r="P31" i="6"/>
  <c r="J32" i="6"/>
  <c r="I24" i="3"/>
  <c r="E24" i="3"/>
  <c r="H24" i="3"/>
  <c r="D25" i="3"/>
  <c r="K32" i="6" l="1"/>
  <c r="L32" i="6"/>
  <c r="M32" i="6"/>
  <c r="P32" i="6"/>
  <c r="J33" i="6"/>
  <c r="E25" i="3"/>
  <c r="H25" i="3"/>
  <c r="D26" i="3"/>
  <c r="I25" i="3"/>
  <c r="K33" i="6" l="1"/>
  <c r="L33" i="6"/>
  <c r="M33" i="6"/>
  <c r="P33" i="6"/>
  <c r="J34" i="6"/>
  <c r="E26" i="3"/>
  <c r="H26" i="3"/>
  <c r="D27" i="3"/>
  <c r="I26" i="3"/>
  <c r="K34" i="6" l="1"/>
  <c r="L34" i="6"/>
  <c r="M34" i="6"/>
  <c r="P34" i="6"/>
  <c r="J35" i="6"/>
  <c r="E27" i="3"/>
  <c r="H27" i="3"/>
  <c r="I27" i="3"/>
  <c r="D28" i="3"/>
  <c r="K35" i="6" l="1"/>
  <c r="L35" i="6"/>
  <c r="M35" i="6"/>
  <c r="P35" i="6"/>
  <c r="J36" i="6"/>
  <c r="H28" i="3"/>
  <c r="I28" i="3"/>
  <c r="E28" i="3"/>
  <c r="D29" i="3"/>
  <c r="K36" i="6" l="1"/>
  <c r="L36" i="6"/>
  <c r="M36" i="6"/>
  <c r="P36" i="6"/>
  <c r="J37" i="6"/>
  <c r="E29" i="3"/>
  <c r="H29" i="3"/>
  <c r="D30" i="3"/>
  <c r="I29" i="3"/>
  <c r="K37" i="6" l="1"/>
  <c r="L37" i="6"/>
  <c r="M37" i="6"/>
  <c r="P37" i="6"/>
  <c r="J38" i="6"/>
  <c r="I30" i="3"/>
  <c r="E30" i="3"/>
  <c r="H30" i="3"/>
  <c r="K38" i="6" l="1"/>
  <c r="L38" i="6"/>
  <c r="M38" i="6"/>
  <c r="P38" i="6"/>
  <c r="J39" i="6"/>
  <c r="K39" i="6" l="1"/>
  <c r="L39" i="6"/>
  <c r="M39" i="6"/>
  <c r="P39" i="6"/>
  <c r="J40" i="6"/>
  <c r="K40" i="6" l="1"/>
  <c r="L40" i="6"/>
  <c r="M40" i="6"/>
  <c r="P40" i="6"/>
  <c r="J41" i="6"/>
  <c r="K41" i="6" l="1"/>
  <c r="L41" i="6"/>
  <c r="M41" i="6"/>
  <c r="P41" i="6"/>
  <c r="J42" i="6"/>
  <c r="K42" i="6" l="1"/>
  <c r="L42" i="6"/>
  <c r="M42" i="6"/>
  <c r="P42" i="6"/>
  <c r="J43" i="6"/>
  <c r="K43" i="6" l="1"/>
  <c r="L43" i="6"/>
  <c r="M43" i="6"/>
  <c r="P43" i="6"/>
  <c r="J44" i="6"/>
  <c r="K44" i="6" l="1"/>
  <c r="L44" i="6"/>
  <c r="M44" i="6"/>
  <c r="P44" i="6"/>
  <c r="J45" i="6"/>
  <c r="K45" i="6" l="1"/>
  <c r="L45" i="6"/>
  <c r="M45" i="6"/>
  <c r="P45" i="6"/>
  <c r="J46" i="6"/>
  <c r="K46" i="6" l="1"/>
  <c r="L46" i="6"/>
  <c r="M46" i="6"/>
  <c r="P46" i="6"/>
  <c r="J47" i="6"/>
  <c r="K47" i="6" l="1"/>
  <c r="L47" i="6"/>
  <c r="M47" i="6"/>
  <c r="P47" i="6"/>
  <c r="J48" i="6"/>
  <c r="K48" i="6" l="1"/>
  <c r="L48" i="6"/>
  <c r="M48" i="6"/>
  <c r="P48" i="6"/>
  <c r="J49" i="6"/>
  <c r="K49" i="6" l="1"/>
  <c r="L49" i="6"/>
  <c r="M49" i="6"/>
  <c r="P49" i="6"/>
  <c r="J50" i="6"/>
  <c r="K50" i="6" l="1"/>
  <c r="L50" i="6"/>
  <c r="M50" i="6"/>
  <c r="P50" i="6"/>
  <c r="J51" i="6"/>
  <c r="K51" i="6" l="1"/>
  <c r="L51" i="6"/>
  <c r="M51" i="6"/>
  <c r="P51" i="6"/>
  <c r="J52" i="6"/>
  <c r="K52" i="6" l="1"/>
  <c r="L52" i="6"/>
  <c r="M52" i="6"/>
  <c r="P52" i="6"/>
  <c r="J53" i="6"/>
  <c r="K53" i="6" l="1"/>
  <c r="L53" i="6"/>
  <c r="M53" i="6"/>
  <c r="P53" i="6"/>
  <c r="J54" i="6"/>
  <c r="K54" i="6" l="1"/>
  <c r="L54" i="6"/>
  <c r="M54" i="6"/>
  <c r="P54" i="6"/>
  <c r="J55" i="6"/>
  <c r="K55" i="6" l="1"/>
  <c r="L55" i="6"/>
  <c r="M55" i="6"/>
  <c r="P55" i="6"/>
  <c r="J56" i="6"/>
  <c r="K56" i="6" l="1"/>
  <c r="L56" i="6"/>
  <c r="M56" i="6"/>
  <c r="P56" i="6"/>
  <c r="J57" i="6"/>
  <c r="K57" i="6" l="1"/>
  <c r="L57" i="6"/>
  <c r="M57" i="6"/>
  <c r="P57" i="6"/>
  <c r="J58" i="6"/>
  <c r="K58" i="6" l="1"/>
  <c r="L58" i="6"/>
  <c r="M58" i="6"/>
  <c r="P58" i="6"/>
  <c r="J59" i="6"/>
  <c r="K59" i="6" l="1"/>
  <c r="L59" i="6"/>
  <c r="M59" i="6"/>
  <c r="P59" i="6"/>
  <c r="J60" i="6"/>
  <c r="K60" i="6" l="1"/>
  <c r="L60" i="6"/>
  <c r="M60" i="6"/>
  <c r="P60" i="6"/>
  <c r="J61" i="6"/>
  <c r="K61" i="6" l="1"/>
  <c r="L61" i="6"/>
  <c r="M61" i="6"/>
  <c r="P61" i="6"/>
  <c r="J62" i="6"/>
  <c r="K62" i="6" l="1"/>
  <c r="L62" i="6"/>
  <c r="M62" i="6"/>
  <c r="P62" i="6"/>
  <c r="J63" i="6"/>
  <c r="K63" i="6" l="1"/>
  <c r="L63" i="6"/>
  <c r="M63" i="6"/>
  <c r="J64" i="6"/>
  <c r="K64" i="6" l="1"/>
  <c r="L64" i="6"/>
  <c r="M64" i="6"/>
  <c r="J65" i="6"/>
  <c r="H40" i="7" l="1"/>
  <c r="C40" i="7"/>
  <c r="K65" i="6"/>
  <c r="L65" i="6"/>
  <c r="Q40" i="7" s="1"/>
  <c r="M65" i="6"/>
  <c r="J66" i="6"/>
  <c r="K66" i="6" l="1"/>
  <c r="L66" i="6"/>
  <c r="M66" i="6"/>
  <c r="J67" i="6"/>
  <c r="K67" i="6" l="1"/>
  <c r="L67" i="6"/>
  <c r="M67" i="6"/>
  <c r="J68" i="6"/>
  <c r="H41" i="7" l="1"/>
  <c r="C41" i="7"/>
  <c r="K68" i="6"/>
  <c r="L68" i="6"/>
  <c r="Q41" i="7" s="1"/>
  <c r="M68" i="6"/>
  <c r="J69" i="6"/>
  <c r="K69" i="6" l="1"/>
  <c r="L69" i="6"/>
  <c r="M69" i="6"/>
  <c r="J70" i="6"/>
  <c r="K70" i="6" l="1"/>
  <c r="L70" i="6"/>
  <c r="M70" i="6"/>
  <c r="J71" i="6"/>
  <c r="B6" i="7" l="1"/>
  <c r="B8" i="7" s="1"/>
  <c r="H42" i="7"/>
  <c r="C42" i="7"/>
  <c r="B7" i="7"/>
  <c r="K71" i="6"/>
  <c r="L71" i="6"/>
  <c r="Q42" i="7" s="1"/>
  <c r="M7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Santiago Murcia</author>
  </authors>
  <commentList>
    <comment ref="J12" authorId="0" shapeId="0" xr:uid="{61BF28CB-0C44-684C-8683-73B27D17BD5A}">
      <text>
        <r>
          <rPr>
            <b/>
            <sz val="10"/>
            <color rgb="FF000000"/>
            <rFont val="Tahoma"/>
            <family val="2"/>
          </rPr>
          <t>Santiago Murcia: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Semilla: dato real BCRA ene-22</t>
        </r>
      </text>
    </comment>
    <comment ref="N12" authorId="0" shapeId="0" xr:uid="{CCA08E5E-E68D-5641-BBF3-D1504BD65FB1}">
      <text>
        <r>
          <rPr>
            <b/>
            <sz val="10"/>
            <color rgb="FF000000"/>
            <rFont val="Tahoma"/>
            <family val="2"/>
          </rPr>
          <t>Santiago Murcia:</t>
        </r>
        <r>
          <rPr>
            <sz val="10"/>
            <color rgb="FF000000"/>
            <rFont val="Tahoma"/>
            <family val="2"/>
          </rPr>
          <t xml:space="preserve">
Semilla OPT: dato real BCRA ene-22</t>
        </r>
      </text>
    </comment>
    <comment ref="O12" authorId="0" shapeId="0" xr:uid="{495FB1E2-75EE-5149-9AD0-A8F770B137BA}">
      <text>
        <r>
          <rPr>
            <b/>
            <sz val="10"/>
            <color rgb="FF000000"/>
            <rFont val="Tahoma"/>
            <family val="2"/>
          </rPr>
          <t>Santiago Murcia:</t>
        </r>
        <r>
          <rPr>
            <sz val="10"/>
            <color rgb="FF000000"/>
            <rFont val="Tahoma"/>
            <family val="2"/>
          </rPr>
          <t xml:space="preserve">
Semilla PES: dato real BCRA ene-22</t>
        </r>
      </text>
    </comment>
    <comment ref="B63" authorId="0" shapeId="0" xr:uid="{01F20A6C-A2C3-1F4C-A1B3-860858231C8C}">
      <text>
        <r>
          <rPr>
            <b/>
            <sz val="10"/>
            <color rgb="FF000000"/>
            <rFont val="Tahoma"/>
            <family val="2"/>
          </rPr>
          <t>Santiago Murcia: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Supuesto: inflación mensual 2026E = 2.5% promedio (30% anual)</t>
        </r>
      </text>
    </comment>
    <comment ref="C63" authorId="0" shapeId="0" xr:uid="{9216D0D7-8C41-8C4D-918B-DC683079997D}">
      <text>
        <r>
          <rPr>
            <b/>
            <sz val="10"/>
            <color rgb="FF000000"/>
            <rFont val="Tahoma"/>
            <family val="2"/>
          </rPr>
          <t>Santiago Murcia: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Supuesto: crec PBI real mensual 2026E = 0.29% (3.5% anual)</t>
        </r>
      </text>
    </comment>
  </commentList>
</comments>
</file>

<file path=xl/sharedStrings.xml><?xml version="1.0" encoding="utf-8"?>
<sst xmlns="http://schemas.openxmlformats.org/spreadsheetml/2006/main" count="316" uniqueCount="262">
  <si>
    <t>MacroLibre  ·  Proxy Demanda de Dinero M2  —  Supuestos del Modelo</t>
  </si>
  <si>
    <t>Última actualización:</t>
  </si>
  <si>
    <t>mar-2025</t>
  </si>
  <si>
    <t>1. SUPUESTOS MACROECONÓMICOS GENERALES</t>
  </si>
  <si>
    <t>Variable</t>
  </si>
  <si>
    <t>2024 (real)</t>
  </si>
  <si>
    <t>2025E</t>
  </si>
  <si>
    <t>2026E</t>
  </si>
  <si>
    <t>Fuente / Notas</t>
  </si>
  <si>
    <t>Inflación anual (IPC, %)</t>
  </si>
  <si>
    <t>INDEC / REM-BCRA</t>
  </si>
  <si>
    <t>Inflación mensual promedio (%)</t>
  </si>
  <si>
    <t>Derivado de inflación anual</t>
  </si>
  <si>
    <t>Crecimiento PBI real (% a/a)</t>
  </si>
  <si>
    <t>FMI / BCRA</t>
  </si>
  <si>
    <t>Tasa de política monetaria (TNA %)</t>
  </si>
  <si>
    <t>BCRA</t>
  </si>
  <si>
    <t>Tipo de cambio oficial ($/USD, fin)</t>
  </si>
  <si>
    <t>BCRA / estimación propia</t>
  </si>
  <si>
    <t>PBI nominal (ARS bn)</t>
  </si>
  <si>
    <t>Cadena nominal</t>
  </si>
  <si>
    <t>2. SUPUESTOS ESPECÍFICOS — DEMANDA DE DINERO M2</t>
  </si>
  <si>
    <t>Parámetro</t>
  </si>
  <si>
    <t>Valor base</t>
  </si>
  <si>
    <t>Escenario optimista</t>
  </si>
  <si>
    <t>Escenario pesimista</t>
  </si>
  <si>
    <t>Descripción</t>
  </si>
  <si>
    <t xml:space="preserve">M2/PBI ratio base 2024 (%) </t>
  </si>
  <si>
    <t>Remonetización post-desinflación</t>
  </si>
  <si>
    <t>Elasticidad M2 / inflación</t>
  </si>
  <si>
    <t>Estimación por panel datos 2003-2024</t>
  </si>
  <si>
    <t>Elasticidad M2 / PBI real</t>
  </si>
  <si>
    <t>Demanda transaccional + precautoria</t>
  </si>
  <si>
    <t>Velocidad de circulación (PBI/M2)</t>
  </si>
  <si>
    <t>V = 1 / (M2/PBI)</t>
  </si>
  <si>
    <t>Corrección carry / dolarización</t>
  </si>
  <si>
    <t>Ajuste por sustitución monetaria</t>
  </si>
  <si>
    <t>M2 real base (ARS bn, dic-2016)</t>
  </si>
  <si>
    <t>BCRA — Base monetaria amplia</t>
  </si>
  <si>
    <t>CONVENCIÓN DE COLORES</t>
  </si>
  <si>
    <t>Texto azul</t>
  </si>
  <si>
    <t>Supuesto hardcodeado — input del usuario</t>
  </si>
  <si>
    <t>Texto negro</t>
  </si>
  <si>
    <t>Fórmula calculada</t>
  </si>
  <si>
    <t>Texto verde</t>
  </si>
  <si>
    <t>Link a otra hoja del mismo workbook</t>
  </si>
  <si>
    <t>Texto rojo</t>
  </si>
  <si>
    <t>Link externo a otro archivo</t>
  </si>
  <si>
    <t>Fondo amarillo</t>
  </si>
  <si>
    <t>Celda clave — requiere revisión</t>
  </si>
  <si>
    <t>MacroLibre  ·  Proxy Demanda de Dinero M2  —  Serie Histórica Mensual</t>
  </si>
  <si>
    <t>Fuente: BCRA / IMM  |  M2 Priv. Transaccional = Billetes + Dep.CC no remunerados (sector privado)  |  ARS bn</t>
  </si>
  <si>
    <t>PERÍODO</t>
  </si>
  <si>
    <t>BASE MONETARIA (M0)</t>
  </si>
  <si>
    <t>M2 PRIVADO TRANSACCIONAL</t>
  </si>
  <si>
    <t>INDICADORES DERIVADOS</t>
  </si>
  <si>
    <t>Período</t>
  </si>
  <si>
    <t>BM Nominal
(ARS bn)</t>
  </si>
  <si>
    <t>IPC
(base dic-16=100)</t>
  </si>
  <si>
    <t>BM Real
(ARS bn)</t>
  </si>
  <si>
    <t>Billetes y monedas
en poder público
(ARS bn)</t>
  </si>
  <si>
    <t>M2 Priv. Transaccional
(ARS bn)  [Fuente: BCRA]</t>
  </si>
  <si>
    <t>Vel. Circ.
(PBI/M2)</t>
  </si>
  <si>
    <t>Var. M2
(% m/m)</t>
  </si>
  <si>
    <t>ene-22</t>
  </si>
  <si>
    <t>-</t>
  </si>
  <si>
    <t>feb-22</t>
  </si>
  <si>
    <t>mar-22</t>
  </si>
  <si>
    <t>abr-22</t>
  </si>
  <si>
    <t>may-22</t>
  </si>
  <si>
    <t>jun-22</t>
  </si>
  <si>
    <t>jul-22</t>
  </si>
  <si>
    <t>ago-22</t>
  </si>
  <si>
    <t>sep-22</t>
  </si>
  <si>
    <t>oct-22</t>
  </si>
  <si>
    <t>nov-22</t>
  </si>
  <si>
    <t>dic-22</t>
  </si>
  <si>
    <t>ene-23</t>
  </si>
  <si>
    <t>feb-23</t>
  </si>
  <si>
    <t>mar-23</t>
  </si>
  <si>
    <t>abr-23</t>
  </si>
  <si>
    <t>may-23</t>
  </si>
  <si>
    <t>jun-23</t>
  </si>
  <si>
    <t>jul-23</t>
  </si>
  <si>
    <t>ago-23</t>
  </si>
  <si>
    <t>sep-23</t>
  </si>
  <si>
    <t>oct-23</t>
  </si>
  <si>
    <t>nov-23</t>
  </si>
  <si>
    <t>dic-23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</si>
  <si>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</si>
  <si>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</si>
  <si>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</si>
  <si>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</si>
  <si>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</si>
  <si>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</si>
  <si>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</si>
  <si>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</si>
  <si>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sep-24</t>
  </si>
  <si>
    <t>oct-24</t>
  </si>
  <si>
    <t>nov-24</t>
  </si>
  <si>
    <t>dic-24</t>
  </si>
  <si>
    <t>ene-25</t>
  </si>
  <si>
    <t>feb-25</t>
  </si>
  <si>
    <t>mar-25</t>
  </si>
  <si>
    <t>abr-25</t>
  </si>
  <si>
    <t>may-25</t>
  </si>
  <si>
    <t>jun-25</t>
  </si>
  <si>
    <t>jul-25</t>
  </si>
  <si>
    <t>ago-25</t>
  </si>
  <si>
    <t>sep-25</t>
  </si>
  <si>
    <t>oct-25</t>
  </si>
  <si>
    <t>nov-25</t>
  </si>
  <si>
    <t>dic-25</t>
  </si>
  <si>
    <t>ene-26</t>
  </si>
  <si>
    <t>feb-26</t>
  </si>
  <si>
    <t>✅ = Dato confirmado IMM BCRA  |  ⚠️ Fondo amarillo = estimación propia  |  Meta BCRA dic-25: 65.800 bn  |  Definición oficial: Billetes + Dep CC no remunerados sector privado</t>
  </si>
  <si>
    <t>Fuente oficial completa: https://www.bcra.gob.ar/Pdfs/PublicacionesEstadisticas/series.xlsm  →  hoja 'Agregados Monetarios'  →  columna 'M2 Transaccional del Sector Privado'</t>
  </si>
  <si>
    <t>MacroLibre  ·  Proxy Demanda de Dinero M2  —  Proyección 2025–2026</t>
  </si>
  <si>
    <t>Modelo: M2 = M2(-1) × (1 + π) × (1 + elasticidad_PBI × g_PBI)  |  Escenario base</t>
  </si>
  <si>
    <t>PROYECCIÓN MENSUAL M2 — ESCENARIO BASE</t>
  </si>
  <si>
    <t>Inflación
mens. (%)</t>
  </si>
  <si>
    <t>Crec. PBI
real mens. (%)</t>
  </si>
  <si>
    <t>M2 Nominal
(ARS bn)</t>
  </si>
  <si>
    <t>M2 Real
(ARS bn)</t>
  </si>
  <si>
    <t>IPC
(proyectado)</t>
  </si>
  <si>
    <t>PBI nominal
mens. (ARS bn)</t>
  </si>
  <si>
    <t>M2/PBI
(%)</t>
  </si>
  <si>
    <t>RESUMEN ANUAL</t>
  </si>
  <si>
    <t>Año</t>
  </si>
  <si>
    <t>M2 nom dic
(ARS bn)</t>
  </si>
  <si>
    <t>M2 real dic
(base dic-16)</t>
  </si>
  <si>
    <t>M2/PBI (%)</t>
  </si>
  <si>
    <t>Vel. circulación</t>
  </si>
  <si>
    <t>Infl. anual (%)</t>
  </si>
  <si>
    <t>Crec. M2
nominal (%)</t>
  </si>
  <si>
    <t>Crec. M2
real (%)</t>
  </si>
  <si>
    <t>MacroLibre  ·  Proxy M2  —  Análisis de Escenarios (dic-2025)</t>
  </si>
  <si>
    <t>TABLA DE SENSIBILIDAD — M2/PBI % A DIC-2025</t>
  </si>
  <si>
    <t>Inflación 2025 →</t>
  </si>
  <si>
    <t>↓ PBI real / →Infl</t>
  </si>
  <si>
    <t>40%</t>
  </si>
  <si>
    <t>55%</t>
  </si>
  <si>
    <t>70%</t>
  </si>
  <si>
    <t>90%</t>
  </si>
  <si>
    <t>2.0% PBI</t>
  </si>
  <si>
    <t>3.5% PBI</t>
  </si>
  <si>
    <t>5.0% PBI</t>
  </si>
  <si>
    <t>6.5% PBI</t>
  </si>
  <si>
    <t>Nota metodológica:</t>
  </si>
  <si>
    <t>M2/PBI = ratio_base × (1 + ε_π × ln(1+π)) × (1 + ε_PBI × g)</t>
  </si>
  <si>
    <t>Verde &gt; 16% | Amarillo 13-16% | Rojo &lt; 13%</t>
  </si>
  <si>
    <t>ESCENARIOS NARRATIVOS</t>
  </si>
  <si>
    <t>Escenario</t>
  </si>
  <si>
    <t>Inflación
2025</t>
  </si>
  <si>
    <t>PBI real
2025</t>
  </si>
  <si>
    <t>M2/PBI
dic-25</t>
  </si>
  <si>
    <t>M2 nom dic-25
(ARS bn)</t>
  </si>
  <si>
    <t>Narrativa</t>
  </si>
  <si>
    <t>Base</t>
  </si>
  <si>
    <t>4.5%</t>
  </si>
  <si>
    <t>~15.5%</t>
  </si>
  <si>
    <t>~209,000</t>
  </si>
  <si>
    <t>Desinflación gradual; remonetización moderada</t>
  </si>
  <si>
    <t>Optimista</t>
  </si>
  <si>
    <t>6.0%</t>
  </si>
  <si>
    <t>~17.8%</t>
  </si>
  <si>
    <t>~240,000</t>
  </si>
  <si>
    <t>Baja rápida inflación; aceleración actividad</t>
  </si>
  <si>
    <t>Pesimista</t>
  </si>
  <si>
    <t>80%</t>
  </si>
  <si>
    <t>2.0%</t>
  </si>
  <si>
    <t>~12.8%</t>
  </si>
  <si>
    <t>~173,000</t>
  </si>
  <si>
    <t>Inflación resiliente; caída demanda real M2</t>
  </si>
  <si>
    <t>Ruptura</t>
  </si>
  <si>
    <t>120%</t>
  </si>
  <si>
    <t>-2.0%</t>
  </si>
  <si>
    <t>~9.5%</t>
  </si>
  <si>
    <t>~128,000</t>
  </si>
  <si>
    <t>Recaída inflacionaria + recesión; huida del peso</t>
  </si>
  <si>
    <t>MacroLibre  ·  Glosario  — Proxy M2</t>
  </si>
  <si>
    <t>TÉRMINO</t>
  </si>
  <si>
    <t>DEFINICIÓN</t>
  </si>
  <si>
    <t>M0 / Base Monetaria</t>
  </si>
  <si>
    <t>Billetes y monedas en circulación + reservas bancarias en BCRA</t>
  </si>
  <si>
    <t>M2</t>
  </si>
  <si>
    <t>M0 + depósitos en cuenta corriente + depósitos en caja de ahorro en pesos</t>
  </si>
  <si>
    <t>Proxy de Demanda de M2</t>
  </si>
  <si>
    <t>Variable que aproxima la demanda real de dinero transaccional y de reserva de valor</t>
  </si>
  <si>
    <t>M2/PBI</t>
  </si>
  <si>
    <t>Ratio de monetización: mide qué fracción del producto se mantiene como dinero</t>
  </si>
  <si>
    <t>Velocidad de circulación (V)</t>
  </si>
  <si>
    <t>V = PBI / M2. Indica cuántas veces el dinero 'da vuelta' en un período</t>
  </si>
  <si>
    <t>Elasticidad-precio</t>
  </si>
  <si>
    <t>Variación % de M2 ante un aumento de 1 pp en la inflación (negativa)</t>
  </si>
  <si>
    <t>Elasticidad-ingreso</t>
  </si>
  <si>
    <t>Variación % de M2 ante un crecimiento de 1% en el PBI real (&gt;1 = bien de lujo)</t>
  </si>
  <si>
    <t>Carry / Dolarización</t>
  </si>
  <si>
    <t>Ajuste negativo sobre M2 por la competencia del dólar y los instrumentos financieros en moneda dura</t>
  </si>
  <si>
    <t>IPC base dic-16=100</t>
  </si>
  <si>
    <t>Índice de precios al consumidor con base normalizada en diciembre de 2016</t>
  </si>
  <si>
    <t>BM Real</t>
  </si>
  <si>
    <t>Base monetaria nominal deflactada por el IPC</t>
  </si>
  <si>
    <t>Banco Central de la República Argentina</t>
  </si>
  <si>
    <t>REM</t>
  </si>
  <si>
    <t>Relevamiento de Expectativas de Mercado — encuesta mensual del BCRA</t>
  </si>
  <si>
    <t>TNA</t>
  </si>
  <si>
    <t>Tasa Nominal Anual — forma estándar de cotizar tasas en Argentina</t>
  </si>
  <si>
    <t>ARS bn</t>
  </si>
  <si>
    <t>Miles de millones de pesos argentinos (billions en convención local)</t>
  </si>
  <si>
    <t>M2 / PBI NOM
(%)</t>
  </si>
  <si>
    <t>PBI NOM BUSCAR</t>
  </si>
  <si>
    <t>PBI Nominal ARS b</t>
  </si>
  <si>
    <t>rem 0,6%</t>
  </si>
  <si>
    <t>M2 Real base</t>
  </si>
  <si>
    <t>IPC</t>
  </si>
  <si>
    <t>M2/PBI%</t>
  </si>
  <si>
    <t>Velocidad (PBI/M2)</t>
  </si>
  <si>
    <t>dic-21 (base)</t>
  </si>
  <si>
    <t>dic-21 (semilla)</t>
  </si>
  <si>
    <t>M2 Modelo
BASE (ARS mn)</t>
  </si>
  <si>
    <t>M2/PBI Modelo
BASE (%)</t>
  </si>
  <si>
    <t>Velocidad
Modelo BASE</t>
  </si>
  <si>
    <t>Var. M2 Modelo
(% m/m)</t>
  </si>
  <si>
    <t>M2 Modelo
OPTIMISTA</t>
  </si>
  <si>
    <t>M2 Modelo
PESIMISTA</t>
  </si>
  <si>
    <t>Desvío Modelo
vs Real (%)</t>
  </si>
  <si>
    <t>MacroLibre · Dashboard — Proxy Demanda de Dinero M2 Argentina 2026E</t>
  </si>
  <si>
    <t>Modelo: M2(t) = M2(t-1) × (1+π) × (1 + ε_PBI × g) × (1 - carry)  |  Última act.: mar-2026</t>
  </si>
  <si>
    <t>TABLA RESUMEN — PROYECCIÓN DIC-2026E (3 ESCENARIOS)</t>
  </si>
  <si>
    <t>ε PBI</t>
  </si>
  <si>
    <t>ε π</t>
  </si>
  <si>
    <t>Carry</t>
  </si>
  <si>
    <t>M2 Nominal dic-26 (ARS mn)</t>
  </si>
  <si>
    <t>M2/PBI Modelo (%)</t>
  </si>
  <si>
    <t>M2/PBI Target (%)</t>
  </si>
  <si>
    <t>Velocidad Target</t>
  </si>
  <si>
    <t>CHEQUEO VS TARGET BCRA — DIC-2025</t>
  </si>
  <si>
    <t>Target BCRA M2 dic-25 (ARS mn)</t>
  </si>
  <si>
    <t>M2 Real dic-25 (dato BCRA)</t>
  </si>
  <si>
    <t>M2 Modelo BASE dic-25</t>
  </si>
  <si>
    <t>Desvío Real vs Target BCRA (%)</t>
  </si>
  <si>
    <t>Desvío Modelo vs Target BCRA (%)</t>
  </si>
  <si>
    <t>SUPUESTOS DEL MODELO MacroLibre</t>
  </si>
  <si>
    <t>Elasticidad M2/PBI real</t>
  </si>
  <si>
    <t>Elasticidad M2/Inflación</t>
  </si>
  <si>
    <t>Corrección carry/dolarización</t>
  </si>
  <si>
    <t>M2/PBI ratio target (%)</t>
  </si>
  <si>
    <t>Velocidad base (PBI/M2)</t>
  </si>
  <si>
    <t>Inflación mensual 2026E (%)</t>
  </si>
  <si>
    <t>DATOS PARA GRÁFICOS (selección de meses clave)</t>
  </si>
  <si>
    <t>M2 Real (BCRA)</t>
  </si>
  <si>
    <t>M2 Modelo BASE</t>
  </si>
  <si>
    <t>M2 Modelo OPT</t>
  </si>
  <si>
    <t>M2 Modelo PES</t>
  </si>
  <si>
    <t>M2/PBI Real (%)</t>
  </si>
  <si>
    <t>dic-26</t>
  </si>
  <si>
    <t>Target 15.2%</t>
  </si>
  <si>
    <t>Vel. Real</t>
  </si>
  <si>
    <t>Vel. Modelo BASE</t>
  </si>
  <si>
    <t>NOTA METODOLÓGICA</t>
  </si>
  <si>
    <t>El modelo MacroLibre proyecta M2 desde ene-2022 con elasticidades fijas.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</si>
</sst>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9" formatCode="0.0000"/>
  </numFmts>
  <fonts count="64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9"/>
      <color rgb="FF888888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6400"/>
      <name val="Arial"/>
      <family val="2"/>
    </font>
    <font>
      <b/>
      <sz val="10"/>
      <color rgb="FFFF0000"/>
      <name val="Arial"/>
      <family val="2"/>
    </font>
    <font>
      <b/>
      <sz val="9"/>
      <color rgb="FFFFFFFF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9"/>
      <color rgb="FF000000"/>
      <name val="Arial"/>
      <family val="2"/>
    </font>
    <font>
      <b/>
      <sz val="9"/>
      <color rgb="FF0000FF"/>
      <name val="Arial"/>
      <family val="2"/>
    </font>
    <font>
      <i/>
      <sz val="8"/>
      <color rgb="FF555555"/>
      <name val="Arial"/>
      <family val="2"/>
    </font>
    <font>
      <i/>
      <sz val="8"/>
      <color rgb="FF0000FF"/>
      <name val="Arial"/>
      <family val="2"/>
    </font>
    <font>
      <sz val="9"/>
      <color rgb="FF006400"/>
      <name val="Arial"/>
      <family val="2"/>
    </font>
    <font>
      <b/>
      <sz val="10"/>
      <name val="Arial"/>
      <family val="2"/>
    </font>
    <font>
      <b/>
      <sz val="9"/>
      <color rgb="FF666666"/>
      <name val="Arial"/>
      <family val="2"/>
    </font>
    <font>
      <sz val="10"/>
      <color rgb="FF9C5700"/>
      <name val="Arial"/>
      <family val="2"/>
    </font>
    <font>
      <sz val="10"/>
      <color rgb="FF9C0006"/>
      <name val="Arial"/>
      <family val="2"/>
    </font>
    <font>
      <i/>
      <sz val="9"/>
      <color rgb="FF555555"/>
      <name val="Arial"/>
      <family val="2"/>
    </font>
    <font>
      <sz val="10"/>
      <color rgb="FF276221"/>
      <name val="Arial"/>
      <family val="2"/>
    </font>
    <font>
      <sz val="10"/>
      <color rgb="FF6C3483"/>
      <name val="Arial"/>
      <family val="2"/>
    </font>
    <font>
      <sz val="10"/>
      <color rgb="FFFFFFFF"/>
      <name val="Arial"/>
      <family val="2"/>
    </font>
    <font>
      <sz val="10"/>
      <color rgb="FF333333"/>
      <name val="Arial"/>
      <family val="2"/>
    </font>
    <font>
      <sz val="10"/>
      <name val="Gill Sans MT"/>
      <family val="2"/>
    </font>
    <font>
      <b/>
      <sz val="9"/>
      <color rgb="FFFF0000"/>
      <name val="Arial"/>
      <family val="2"/>
    </font>
    <font>
      <b/>
      <sz val="8"/>
      <name val="Helvetica LT Std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</font>
    <font>
      <sz val="9"/>
      <color rgb="FFFF0000"/>
      <name val="Arial"/>
      <family val="2"/>
    </font>
    <font>
      <sz val="11"/>
      <color rgb="FF000000"/>
      <name val="Calibri"/>
      <family val="2"/>
      <charset val="1"/>
    </font>
    <font>
      <sz val="9"/>
      <color rgb="FF0070C0"/>
      <name val="Arial"/>
      <family val="2"/>
    </font>
    <font>
      <sz val="10"/>
      <color rgb="FF000000"/>
      <name val="Courier New"/>
      <family val="1"/>
    </font>
    <font>
      <sz val="10"/>
      <color rgb="FF0070C0"/>
      <name val="Courier New"/>
      <family val="1"/>
    </font>
    <font>
      <b/>
      <sz val="9"/>
      <color theme="2"/>
      <name val="Arial"/>
      <family val="2"/>
    </font>
    <font>
      <sz val="11"/>
      <color theme="2"/>
      <name val="Arial"/>
      <family val="2"/>
    </font>
    <font>
      <sz val="11"/>
      <color theme="2"/>
      <name val="Calibri"/>
      <family val="2"/>
      <charset val="1"/>
    </font>
    <font>
      <b/>
      <sz val="9"/>
      <color rgb="FFEEECE1"/>
      <name val="Calibri"/>
      <family val="2"/>
      <charset val="1"/>
    </font>
    <font>
      <sz val="11"/>
      <color rgb="FF0000FF"/>
      <name val="Calibri"/>
      <family val="2"/>
      <charset val="1"/>
    </font>
    <font>
      <sz val="9"/>
      <color rgb="FF0000FF"/>
      <name val="Calibri"/>
      <family val="2"/>
      <charset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9"/>
      <color rgb="FF006400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rgb="FF4F81BD"/>
      <name val="Calibri"/>
      <family val="2"/>
      <charset val="1"/>
    </font>
    <font>
      <sz val="9"/>
      <color rgb="FFC0504D"/>
      <name val="Calibri"/>
      <family val="2"/>
      <charset val="1"/>
    </font>
    <font>
      <sz val="9"/>
      <color rgb="FF9BBB59"/>
      <name val="Calibri"/>
      <family val="2"/>
      <charset val="1"/>
    </font>
    <font>
      <sz val="9"/>
      <color rgb="FF0070C0"/>
      <name val="Calibri"/>
      <family val="2"/>
      <charset val="1"/>
    </font>
    <font>
      <b/>
      <sz val="14"/>
      <color rgb="FFFFFFFF"/>
      <name val="Calibri"/>
      <family val="2"/>
      <charset val="1"/>
    </font>
    <font>
      <i/>
      <sz val="10"/>
      <color rgb="FF4F81BD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9"/>
      <color rgb="FFFFFFFF"/>
      <name val="Calibri"/>
      <family val="2"/>
      <charset val="1"/>
    </font>
    <font>
      <sz val="9"/>
      <color theme="1"/>
      <name val="Calibri"/>
      <family val="2"/>
      <charset val="1"/>
    </font>
    <font>
      <b/>
      <sz val="8"/>
      <color rgb="FFFFFFFF"/>
      <name val="Calibri"/>
      <family val="2"/>
      <charset val="1"/>
    </font>
    <font>
      <sz val="8"/>
      <color theme="1"/>
      <name val="Calibri"/>
      <family val="2"/>
      <charset val="1"/>
    </font>
    <font>
      <i/>
      <sz val="9"/>
      <color theme="1"/>
      <name val="Calibri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rgb="FF1B2A4A"/>
        <bgColor rgb="FF333333"/>
      </patternFill>
    </fill>
    <fill>
      <patternFill patternType="solid">
        <fgColor rgb="FF4472C4"/>
        <bgColor rgb="FF2E75B6"/>
      </patternFill>
    </fill>
    <fill>
      <patternFill patternType="solid">
        <fgColor rgb="FF2E4D7B"/>
        <bgColor rgb="FF1F4E79"/>
      </patternFill>
    </fill>
    <fill>
      <patternFill patternType="solid">
        <fgColor rgb="FFF2F2F2"/>
        <bgColor rgb="FFEBF5EB"/>
      </patternFill>
    </fill>
    <fill>
      <patternFill patternType="solid">
        <fgColor rgb="FFFFFF00"/>
        <bgColor rgb="FFFFFF00"/>
      </patternFill>
    </fill>
    <fill>
      <patternFill patternType="solid">
        <fgColor rgb="FF1F4E79"/>
        <bgColor rgb="FF2E4D7B"/>
      </patternFill>
    </fill>
    <fill>
      <patternFill patternType="solid">
        <fgColor rgb="FFF5F8FF"/>
        <bgColor rgb="FFF2F2F2"/>
      </patternFill>
    </fill>
    <fill>
      <patternFill patternType="solid">
        <fgColor rgb="FFD6E4F7"/>
        <bgColor rgb="FFE8DAEF"/>
      </patternFill>
    </fill>
    <fill>
      <patternFill patternType="solid">
        <fgColor rgb="FFEBF5EB"/>
        <bgColor rgb="FFF2F2F2"/>
      </patternFill>
    </fill>
    <fill>
      <patternFill patternType="solid">
        <fgColor rgb="FFEBF0FB"/>
        <bgColor rgb="FFF2F2F2"/>
      </patternFill>
    </fill>
    <fill>
      <patternFill patternType="solid">
        <fgColor rgb="FFFFEB9C"/>
        <bgColor rgb="FFFFF2CC"/>
      </patternFill>
    </fill>
    <fill>
      <patternFill patternType="solid">
        <fgColor rgb="FFFFC7CE"/>
        <bgColor rgb="FFE8DAEF"/>
      </patternFill>
    </fill>
    <fill>
      <patternFill patternType="solid">
        <fgColor rgb="FFC6EFCE"/>
        <bgColor rgb="FFD6E4F7"/>
      </patternFill>
    </fill>
    <fill>
      <patternFill patternType="solid">
        <fgColor rgb="FFE8DAEF"/>
        <bgColor rgb="FFD6E4F7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E8DA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1F4E79"/>
      </patternFill>
    </fill>
    <fill>
      <patternFill patternType="solid">
        <fgColor theme="3" tint="0.39997558519241921"/>
        <bgColor rgb="FF2E4D7B"/>
      </patternFill>
    </fill>
    <fill>
      <patternFill patternType="solid">
        <fgColor rgb="FF538DD5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2E4D7B"/>
        <bgColor indexed="64"/>
      </patternFill>
    </fill>
    <fill>
      <patternFill patternType="solid">
        <fgColor rgb="FFD6E4F7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FCE4EC"/>
        <bgColor indexed="64"/>
      </patternFill>
    </fill>
  </fills>
  <borders count="2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15608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0D0D0"/>
      </left>
      <right style="thin">
        <color rgb="FFD0D0D0"/>
      </right>
      <top/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D0D0D0"/>
      </right>
      <top/>
      <bottom style="thin">
        <color rgb="FFD0D0D0"/>
      </bottom>
      <diagonal/>
    </border>
    <border>
      <left style="thin">
        <color rgb="FF00000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000000"/>
      </right>
      <top/>
      <bottom style="thin">
        <color rgb="FFD0D0D0"/>
      </bottom>
      <diagonal/>
    </border>
    <border>
      <left style="thin">
        <color rgb="FFD0D0D0"/>
      </left>
      <right style="thin">
        <color rgb="FF000000"/>
      </right>
      <top style="thin">
        <color rgb="FFD0D0D0"/>
      </top>
      <bottom style="thin">
        <color rgb="FFD0D0D0"/>
      </bottom>
      <diagonal/>
    </border>
    <border>
      <left style="thin">
        <color rgb="FF000000"/>
      </left>
      <right style="thin">
        <color rgb="FFD0D0D0"/>
      </right>
      <top style="thin">
        <color rgb="FFD0D0D0"/>
      </top>
      <bottom style="thin">
        <color rgb="FF00000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000000"/>
      </bottom>
      <diagonal/>
    </border>
    <border>
      <left style="thin">
        <color rgb="FFD0D0D0"/>
      </left>
      <right style="thin">
        <color rgb="FF000000"/>
      </right>
      <top style="thin">
        <color rgb="FFD0D0D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D0D0D0"/>
      </right>
      <top style="thin">
        <color rgb="FFD0D0D0"/>
      </top>
      <bottom style="medium">
        <color rgb="FFFF000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medium">
        <color rgb="FFFF0000"/>
      </bottom>
      <diagonal/>
    </border>
    <border>
      <left style="thin">
        <color rgb="FFD0D0D0"/>
      </left>
      <right style="thin">
        <color rgb="FF000000"/>
      </right>
      <top style="thin">
        <color rgb="FFD0D0D0"/>
      </top>
      <bottom style="medium">
        <color rgb="FFFF0000"/>
      </bottom>
      <diagonal/>
    </border>
  </borders>
  <cellStyleXfs count="2">
    <xf numFmtId="0" fontId="0" fillId="0" borderId="0"/>
    <xf numFmtId="0" fontId="29" fillId="0" borderId="0"/>
  </cellStyleXfs>
  <cellXfs count="207">
    <xf numFmtId="0" fontId="0" fillId="0" borderId="0" xfId="0"/>
    <xf numFmtId="0" fontId="2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4" borderId="0" xfId="0" applyFont="1" applyFill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3" fontId="20" fillId="10" borderId="1" xfId="0" applyNumberFormat="1" applyFont="1" applyFill="1" applyBorder="1" applyAlignment="1">
      <alignment horizontal="center" vertical="center"/>
    </xf>
    <xf numFmtId="2" fontId="20" fillId="10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3" fontId="20" fillId="11" borderId="1" xfId="0" applyNumberFormat="1" applyFont="1" applyFill="1" applyBorder="1" applyAlignment="1">
      <alignment horizontal="center" vertical="center"/>
    </xf>
    <xf numFmtId="2" fontId="20" fillId="11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12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22" fillId="12" borderId="1" xfId="0" applyNumberFormat="1" applyFont="1" applyFill="1" applyBorder="1" applyAlignment="1">
      <alignment horizontal="center" vertical="center"/>
    </xf>
    <xf numFmtId="164" fontId="23" fillId="13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28" fillId="5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2" fontId="31" fillId="16" borderId="2" xfId="0" applyNumberFormat="1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/>
    </xf>
    <xf numFmtId="3" fontId="14" fillId="8" borderId="3" xfId="0" applyNumberFormat="1" applyFont="1" applyFill="1" applyBorder="1" applyAlignment="1">
      <alignment horizontal="center" vertical="center"/>
    </xf>
    <xf numFmtId="3" fontId="15" fillId="8" borderId="3" xfId="0" applyNumberFormat="1" applyFont="1" applyFill="1" applyBorder="1" applyAlignment="1">
      <alignment horizontal="center" vertical="center"/>
    </xf>
    <xf numFmtId="3" fontId="29" fillId="0" borderId="3" xfId="1" applyNumberFormat="1" applyBorder="1" applyAlignment="1">
      <alignment horizontal="center"/>
    </xf>
    <xf numFmtId="2" fontId="15" fillId="8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3" xfId="0" applyBorder="1"/>
    <xf numFmtId="17" fontId="0" fillId="0" borderId="3" xfId="0" applyNumberFormat="1" applyBorder="1" applyAlignment="1">
      <alignment horizontal="center"/>
    </xf>
    <xf numFmtId="3" fontId="0" fillId="0" borderId="3" xfId="0" applyNumberFormat="1" applyBorder="1"/>
    <xf numFmtId="164" fontId="33" fillId="0" borderId="0" xfId="0" applyNumberFormat="1" applyFont="1"/>
    <xf numFmtId="2" fontId="12" fillId="4" borderId="4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34" fillId="0" borderId="0" xfId="0" applyNumberFormat="1" applyFont="1"/>
    <xf numFmtId="3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/>
    <xf numFmtId="2" fontId="36" fillId="8" borderId="3" xfId="0" applyNumberFormat="1" applyFont="1" applyFill="1" applyBorder="1" applyAlignment="1">
      <alignment horizontal="center" vertical="center"/>
    </xf>
    <xf numFmtId="14" fontId="13" fillId="8" borderId="3" xfId="0" applyNumberFormat="1" applyFont="1" applyFill="1" applyBorder="1" applyAlignment="1">
      <alignment horizontal="center" vertical="center"/>
    </xf>
    <xf numFmtId="14" fontId="12" fillId="4" borderId="0" xfId="0" applyNumberFormat="1" applyFont="1" applyFill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20" fillId="10" borderId="1" xfId="0" applyNumberFormat="1" applyFont="1" applyFill="1" applyBorder="1" applyAlignment="1">
      <alignment horizontal="center" vertical="center"/>
    </xf>
    <xf numFmtId="14" fontId="20" fillId="11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left" vertical="center"/>
    </xf>
    <xf numFmtId="0" fontId="5" fillId="0" borderId="1" xfId="0" applyFont="1" applyBorder="1"/>
    <xf numFmtId="0" fontId="5" fillId="6" borderId="1" xfId="0" applyFont="1" applyFill="1" applyBorder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24" fillId="0" borderId="0" xfId="0" applyFont="1"/>
    <xf numFmtId="0" fontId="3" fillId="3" borderId="0" xfId="0" applyFont="1" applyFill="1"/>
    <xf numFmtId="0" fontId="32" fillId="0" borderId="5" xfId="0" applyFont="1" applyBorder="1"/>
    <xf numFmtId="14" fontId="16" fillId="9" borderId="3" xfId="0" applyNumberFormat="1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2" fontId="38" fillId="0" borderId="3" xfId="0" applyNumberFormat="1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2" fontId="38" fillId="8" borderId="3" xfId="0" applyNumberFormat="1" applyFont="1" applyFill="1" applyBorder="1" applyAlignment="1">
      <alignment horizontal="center" vertical="center"/>
    </xf>
    <xf numFmtId="3" fontId="19" fillId="8" borderId="3" xfId="0" applyNumberFormat="1" applyFont="1" applyFill="1" applyBorder="1" applyAlignment="1">
      <alignment horizontal="center" vertical="center"/>
    </xf>
    <xf numFmtId="2" fontId="14" fillId="8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15" fillId="19" borderId="3" xfId="0" applyNumberFormat="1" applyFont="1" applyFill="1" applyBorder="1" applyAlignment="1">
      <alignment horizontal="center" vertical="center"/>
    </xf>
    <xf numFmtId="2" fontId="38" fillId="18" borderId="3" xfId="0" applyNumberFormat="1" applyFont="1" applyFill="1" applyBorder="1" applyAlignment="1">
      <alignment horizontal="center" vertical="center"/>
    </xf>
    <xf numFmtId="2" fontId="38" fillId="19" borderId="3" xfId="0" applyNumberFormat="1" applyFont="1" applyFill="1" applyBorder="1" applyAlignment="1">
      <alignment horizontal="center" vertical="center"/>
    </xf>
    <xf numFmtId="0" fontId="38" fillId="18" borderId="3" xfId="0" applyFont="1" applyFill="1" applyBorder="1" applyAlignment="1">
      <alignment horizontal="center" vertical="center"/>
    </xf>
    <xf numFmtId="2" fontId="15" fillId="18" borderId="3" xfId="0" applyNumberFormat="1" applyFont="1" applyFill="1" applyBorder="1" applyAlignment="1">
      <alignment horizontal="center" vertical="center"/>
    </xf>
    <xf numFmtId="0" fontId="0" fillId="18" borderId="3" xfId="0" applyFill="1" applyBorder="1"/>
    <xf numFmtId="14" fontId="13" fillId="0" borderId="3" xfId="0" applyNumberFormat="1" applyFont="1" applyFill="1" applyBorder="1" applyAlignment="1">
      <alignment horizontal="center" vertical="center"/>
    </xf>
    <xf numFmtId="14" fontId="41" fillId="21" borderId="3" xfId="0" applyNumberFormat="1" applyFont="1" applyFill="1" applyBorder="1" applyAlignment="1">
      <alignment horizontal="center" vertical="center" wrapText="1"/>
    </xf>
    <xf numFmtId="0" fontId="41" fillId="21" borderId="3" xfId="0" applyFont="1" applyFill="1" applyBorder="1" applyAlignment="1">
      <alignment horizontal="center" vertical="center" wrapText="1"/>
    </xf>
    <xf numFmtId="0" fontId="42" fillId="20" borderId="3" xfId="0" applyFont="1" applyFill="1" applyBorder="1" applyAlignment="1">
      <alignment horizontal="center" vertical="center"/>
    </xf>
    <xf numFmtId="0" fontId="41" fillId="22" borderId="3" xfId="0" applyFont="1" applyFill="1" applyBorder="1" applyAlignment="1">
      <alignment horizontal="center" vertical="center" wrapText="1"/>
    </xf>
    <xf numFmtId="0" fontId="42" fillId="20" borderId="3" xfId="0" applyFont="1" applyFill="1" applyBorder="1" applyAlignment="1">
      <alignment horizontal="center" vertical="center" wrapText="1"/>
    </xf>
    <xf numFmtId="0" fontId="43" fillId="20" borderId="3" xfId="0" applyFont="1" applyFill="1" applyBorder="1" applyAlignment="1">
      <alignment horizontal="center" vertical="center"/>
    </xf>
    <xf numFmtId="0" fontId="16" fillId="17" borderId="3" xfId="0" applyFont="1" applyFill="1" applyBorder="1" applyAlignment="1">
      <alignment horizontal="center" vertical="center"/>
    </xf>
    <xf numFmtId="0" fontId="42" fillId="20" borderId="0" xfId="0" applyFont="1" applyFill="1" applyAlignment="1">
      <alignment horizontal="center" vertical="center"/>
    </xf>
    <xf numFmtId="14" fontId="16" fillId="27" borderId="3" xfId="0" applyNumberFormat="1" applyFont="1" applyFill="1" applyBorder="1" applyAlignment="1">
      <alignment horizontal="center" vertical="center"/>
    </xf>
    <xf numFmtId="17" fontId="15" fillId="29" borderId="6" xfId="0" applyNumberFormat="1" applyFont="1" applyFill="1" applyBorder="1" applyAlignment="1">
      <alignment horizontal="center" vertical="center"/>
    </xf>
    <xf numFmtId="2" fontId="38" fillId="29" borderId="6" xfId="0" applyNumberFormat="1" applyFont="1" applyFill="1" applyBorder="1" applyAlignment="1">
      <alignment horizontal="center" vertical="center"/>
    </xf>
    <xf numFmtId="2" fontId="54" fillId="29" borderId="6" xfId="0" applyNumberFormat="1" applyFont="1" applyFill="1" applyBorder="1" applyAlignment="1">
      <alignment horizontal="center" vertical="center"/>
    </xf>
    <xf numFmtId="17" fontId="50" fillId="29" borderId="0" xfId="0" applyNumberFormat="1" applyFont="1" applyFill="1" applyAlignment="1">
      <alignment horizontal="center"/>
    </xf>
    <xf numFmtId="2" fontId="54" fillId="29" borderId="0" xfId="0" applyNumberFormat="1" applyFont="1" applyFill="1" applyAlignment="1">
      <alignment horizontal="center"/>
    </xf>
    <xf numFmtId="17" fontId="50" fillId="29" borderId="0" xfId="0" applyNumberFormat="1" applyFont="1" applyFill="1" applyBorder="1" applyAlignment="1">
      <alignment horizontal="center"/>
    </xf>
    <xf numFmtId="2" fontId="54" fillId="29" borderId="0" xfId="0" applyNumberFormat="1" applyFont="1" applyFill="1" applyBorder="1" applyAlignment="1">
      <alignment horizontal="center"/>
    </xf>
    <xf numFmtId="3" fontId="50" fillId="29" borderId="6" xfId="0" applyNumberFormat="1" applyFont="1" applyFill="1" applyBorder="1" applyAlignment="1">
      <alignment horizontal="center"/>
    </xf>
    <xf numFmtId="2" fontId="50" fillId="29" borderId="6" xfId="0" applyNumberFormat="1" applyFont="1" applyFill="1" applyBorder="1" applyAlignment="1">
      <alignment horizontal="center"/>
    </xf>
    <xf numFmtId="0" fontId="0" fillId="0" borderId="0" xfId="0"/>
    <xf numFmtId="0" fontId="55" fillId="30" borderId="0" xfId="0" applyFont="1" applyFill="1" applyAlignment="1">
      <alignment horizontal="center"/>
    </xf>
    <xf numFmtId="0" fontId="56" fillId="0" borderId="0" xfId="0" applyFont="1" applyAlignment="1">
      <alignment horizontal="center"/>
    </xf>
    <xf numFmtId="0" fontId="57" fillId="23" borderId="0" xfId="0" applyFont="1" applyFill="1"/>
    <xf numFmtId="0" fontId="58" fillId="0" borderId="0" xfId="0" applyFont="1"/>
    <xf numFmtId="0" fontId="59" fillId="30" borderId="0" xfId="0" applyFont="1" applyFill="1"/>
    <xf numFmtId="0" fontId="59" fillId="30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3" fontId="0" fillId="0" borderId="0" xfId="0" applyNumberFormat="1"/>
    <xf numFmtId="3" fontId="0" fillId="31" borderId="0" xfId="0" applyNumberFormat="1" applyFill="1" applyAlignment="1">
      <alignment horizontal="center"/>
    </xf>
    <xf numFmtId="3" fontId="0" fillId="32" borderId="0" xfId="0" applyNumberFormat="1" applyFill="1" applyAlignment="1">
      <alignment horizontal="center"/>
    </xf>
    <xf numFmtId="3" fontId="0" fillId="33" borderId="0" xfId="0" applyNumberFormat="1" applyFill="1" applyAlignment="1">
      <alignment horizontal="center"/>
    </xf>
    <xf numFmtId="2" fontId="0" fillId="31" borderId="0" xfId="0" applyNumberFormat="1" applyFill="1" applyAlignment="1">
      <alignment horizontal="center"/>
    </xf>
    <xf numFmtId="2" fontId="0" fillId="32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4" fontId="0" fillId="31" borderId="0" xfId="0" applyNumberFormat="1" applyFill="1" applyAlignment="1">
      <alignment horizontal="center"/>
    </xf>
    <xf numFmtId="164" fontId="0" fillId="32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3" fontId="4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" fontId="60" fillId="0" borderId="0" xfId="0" applyNumberFormat="1" applyFont="1" applyAlignment="1">
      <alignment horizontal="center"/>
    </xf>
    <xf numFmtId="2" fontId="60" fillId="0" borderId="0" xfId="0" applyNumberFormat="1" applyFont="1" applyAlignment="1">
      <alignment horizontal="center"/>
    </xf>
    <xf numFmtId="0" fontId="61" fillId="30" borderId="0" xfId="0" applyFont="1" applyFill="1"/>
    <xf numFmtId="0" fontId="62" fillId="0" borderId="0" xfId="0" applyFont="1"/>
    <xf numFmtId="16" fontId="62" fillId="0" borderId="0" xfId="0" applyNumberFormat="1" applyFont="1"/>
    <xf numFmtId="169" fontId="0" fillId="0" borderId="0" xfId="0" applyNumberFormat="1"/>
    <xf numFmtId="0" fontId="44" fillId="23" borderId="7" xfId="0" applyFont="1" applyFill="1" applyBorder="1" applyAlignment="1">
      <alignment horizontal="center" wrapText="1"/>
    </xf>
    <xf numFmtId="0" fontId="44" fillId="24" borderId="7" xfId="0" applyFont="1" applyFill="1" applyBorder="1" applyAlignment="1">
      <alignment horizontal="center" wrapText="1"/>
    </xf>
    <xf numFmtId="0" fontId="44" fillId="25" borderId="7" xfId="0" applyFont="1" applyFill="1" applyBorder="1" applyAlignment="1">
      <alignment horizontal="center" wrapText="1"/>
    </xf>
    <xf numFmtId="0" fontId="0" fillId="0" borderId="8" xfId="0" applyBorder="1"/>
    <xf numFmtId="2" fontId="50" fillId="28" borderId="8" xfId="0" applyNumberFormat="1" applyFont="1" applyFill="1" applyBorder="1" applyAlignment="1">
      <alignment horizontal="center"/>
    </xf>
    <xf numFmtId="0" fontId="50" fillId="28" borderId="8" xfId="0" applyFont="1" applyFill="1" applyBorder="1" applyAlignment="1">
      <alignment horizontal="center"/>
    </xf>
    <xf numFmtId="3" fontId="51" fillId="28" borderId="8" xfId="0" applyNumberFormat="1" applyFont="1" applyFill="1" applyBorder="1" applyAlignment="1">
      <alignment horizontal="center"/>
    </xf>
    <xf numFmtId="3" fontId="52" fillId="28" borderId="8" xfId="0" applyNumberFormat="1" applyFont="1" applyFill="1" applyBorder="1" applyAlignment="1">
      <alignment horizontal="center"/>
    </xf>
    <xf numFmtId="0" fontId="0" fillId="0" borderId="9" xfId="0" applyBorder="1"/>
    <xf numFmtId="169" fontId="50" fillId="28" borderId="9" xfId="0" applyNumberFormat="1" applyFont="1" applyFill="1" applyBorder="1" applyAlignment="1">
      <alignment horizontal="center"/>
    </xf>
    <xf numFmtId="0" fontId="44" fillId="23" borderId="10" xfId="0" applyFont="1" applyFill="1" applyBorder="1" applyAlignment="1">
      <alignment horizontal="center" wrapText="1"/>
    </xf>
    <xf numFmtId="0" fontId="0" fillId="0" borderId="11" xfId="0" applyBorder="1"/>
    <xf numFmtId="3" fontId="49" fillId="28" borderId="11" xfId="0" applyNumberFormat="1" applyFont="1" applyFill="1" applyBorder="1" applyAlignment="1">
      <alignment horizontal="center"/>
    </xf>
    <xf numFmtId="0" fontId="44" fillId="26" borderId="12" xfId="0" applyFont="1" applyFill="1" applyBorder="1" applyAlignment="1">
      <alignment horizontal="center" wrapText="1"/>
    </xf>
    <xf numFmtId="0" fontId="0" fillId="0" borderId="13" xfId="0" applyBorder="1"/>
    <xf numFmtId="2" fontId="53" fillId="28" borderId="13" xfId="0" applyNumberFormat="1" applyFont="1" applyFill="1" applyBorder="1" applyAlignment="1">
      <alignment horizontal="center"/>
    </xf>
    <xf numFmtId="3" fontId="49" fillId="29" borderId="11" xfId="0" applyNumberFormat="1" applyFont="1" applyFill="1" applyBorder="1" applyAlignment="1">
      <alignment horizontal="center"/>
    </xf>
    <xf numFmtId="2" fontId="50" fillId="29" borderId="8" xfId="0" applyNumberFormat="1" applyFont="1" applyFill="1" applyBorder="1" applyAlignment="1">
      <alignment horizontal="center"/>
    </xf>
    <xf numFmtId="3" fontId="51" fillId="29" borderId="8" xfId="0" applyNumberFormat="1" applyFont="1" applyFill="1" applyBorder="1" applyAlignment="1">
      <alignment horizontal="center"/>
    </xf>
    <xf numFmtId="3" fontId="52" fillId="29" borderId="8" xfId="0" applyNumberFormat="1" applyFont="1" applyFill="1" applyBorder="1" applyAlignment="1">
      <alignment horizontal="center"/>
    </xf>
    <xf numFmtId="2" fontId="53" fillId="29" borderId="13" xfId="0" applyNumberFormat="1" applyFont="1" applyFill="1" applyBorder="1" applyAlignment="1">
      <alignment horizontal="center"/>
    </xf>
    <xf numFmtId="3" fontId="49" fillId="29" borderId="14" xfId="0" applyNumberFormat="1" applyFont="1" applyFill="1" applyBorder="1" applyAlignment="1">
      <alignment horizontal="center"/>
    </xf>
    <xf numFmtId="2" fontId="50" fillId="29" borderId="15" xfId="0" applyNumberFormat="1" applyFont="1" applyFill="1" applyBorder="1" applyAlignment="1">
      <alignment horizontal="center"/>
    </xf>
    <xf numFmtId="3" fontId="51" fillId="29" borderId="15" xfId="0" applyNumberFormat="1" applyFont="1" applyFill="1" applyBorder="1" applyAlignment="1">
      <alignment horizontal="center"/>
    </xf>
    <xf numFmtId="3" fontId="52" fillId="29" borderId="15" xfId="0" applyNumberFormat="1" applyFont="1" applyFill="1" applyBorder="1" applyAlignment="1">
      <alignment horizontal="center"/>
    </xf>
    <xf numFmtId="2" fontId="53" fillId="29" borderId="16" xfId="0" applyNumberFormat="1" applyFont="1" applyFill="1" applyBorder="1" applyAlignment="1">
      <alignment horizontal="center"/>
    </xf>
    <xf numFmtId="169" fontId="50" fillId="28" borderId="17" xfId="0" applyNumberFormat="1" applyFont="1" applyFill="1" applyBorder="1" applyAlignment="1">
      <alignment horizontal="center"/>
    </xf>
    <xf numFmtId="3" fontId="49" fillId="29" borderId="10" xfId="0" applyNumberFormat="1" applyFont="1" applyFill="1" applyBorder="1" applyAlignment="1">
      <alignment horizontal="center"/>
    </xf>
    <xf numFmtId="2" fontId="50" fillId="29" borderId="7" xfId="0" applyNumberFormat="1" applyFont="1" applyFill="1" applyBorder="1" applyAlignment="1">
      <alignment horizontal="center"/>
    </xf>
    <xf numFmtId="3" fontId="51" fillId="29" borderId="7" xfId="0" applyNumberFormat="1" applyFont="1" applyFill="1" applyBorder="1" applyAlignment="1">
      <alignment horizontal="center"/>
    </xf>
    <xf numFmtId="3" fontId="52" fillId="29" borderId="7" xfId="0" applyNumberFormat="1" applyFont="1" applyFill="1" applyBorder="1" applyAlignment="1">
      <alignment horizontal="center"/>
    </xf>
    <xf numFmtId="2" fontId="53" fillId="29" borderId="12" xfId="0" applyNumberFormat="1" applyFont="1" applyFill="1" applyBorder="1" applyAlignment="1">
      <alignment horizontal="center"/>
    </xf>
    <xf numFmtId="14" fontId="37" fillId="0" borderId="18" xfId="0" applyNumberFormat="1" applyFont="1" applyFill="1" applyBorder="1" applyAlignment="1">
      <alignment horizontal="center"/>
    </xf>
    <xf numFmtId="0" fontId="0" fillId="18" borderId="18" xfId="0" applyFill="1" applyBorder="1" applyAlignment="1">
      <alignment horizontal="center"/>
    </xf>
    <xf numFmtId="0" fontId="0" fillId="0" borderId="18" xfId="0" applyBorder="1"/>
    <xf numFmtId="2" fontId="15" fillId="19" borderId="18" xfId="0" applyNumberFormat="1" applyFont="1" applyFill="1" applyBorder="1" applyAlignment="1">
      <alignment horizontal="center" vertical="center"/>
    </xf>
    <xf numFmtId="3" fontId="35" fillId="0" borderId="18" xfId="0" applyNumberFormat="1" applyFont="1" applyBorder="1" applyAlignment="1">
      <alignment horizontal="center"/>
    </xf>
    <xf numFmtId="0" fontId="0" fillId="18" borderId="18" xfId="0" applyFill="1" applyBorder="1"/>
    <xf numFmtId="169" fontId="50" fillId="28" borderId="19" xfId="0" applyNumberFormat="1" applyFont="1" applyFill="1" applyBorder="1" applyAlignment="1">
      <alignment horizontal="center"/>
    </xf>
    <xf numFmtId="3" fontId="49" fillId="28" borderId="20" xfId="0" applyNumberFormat="1" applyFont="1" applyFill="1" applyBorder="1" applyAlignment="1">
      <alignment horizontal="center"/>
    </xf>
    <xf numFmtId="2" fontId="50" fillId="28" borderId="21" xfId="0" applyNumberFormat="1" applyFont="1" applyFill="1" applyBorder="1" applyAlignment="1">
      <alignment horizontal="center"/>
    </xf>
    <xf numFmtId="3" fontId="51" fillId="28" borderId="21" xfId="0" applyNumberFormat="1" applyFont="1" applyFill="1" applyBorder="1" applyAlignment="1">
      <alignment horizontal="center"/>
    </xf>
    <xf numFmtId="3" fontId="52" fillId="28" borderId="21" xfId="0" applyNumberFormat="1" applyFont="1" applyFill="1" applyBorder="1" applyAlignment="1">
      <alignment horizontal="center"/>
    </xf>
    <xf numFmtId="2" fontId="53" fillId="28" borderId="22" xfId="0" applyNumberFormat="1" applyFont="1" applyFill="1" applyBorder="1" applyAlignment="1">
      <alignment horizontal="center"/>
    </xf>
    <xf numFmtId="0" fontId="63" fillId="0" borderId="0" xfId="0" applyFont="1"/>
  </cellXfs>
  <cellStyles count="2">
    <cellStyle name="Normal" xfId="0" builtinId="0"/>
    <cellStyle name="Normal 164" xfId="1" xr:uid="{18480B27-D4D2-C94E-BAE2-4AAF096513C8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400"/>
      <rgbColor rgb="FF000080"/>
      <rgbColor rgb="FF808000"/>
      <rgbColor rgb="FF800080"/>
      <rgbColor rgb="FF1F4E79"/>
      <rgbColor rgb="FFCCCCCC"/>
      <rgbColor rgb="FF888888"/>
      <rgbColor rgb="FF9999FF"/>
      <rgbColor rgb="FF6C3483"/>
      <rgbColor rgb="FFFFF2CC"/>
      <rgbColor rgb="FFEBF5EB"/>
      <rgbColor rgb="FF660066"/>
      <rgbColor rgb="FFFF8080"/>
      <rgbColor rgb="FF2E75B6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0FB"/>
      <rgbColor rgb="FFC6EFCE"/>
      <rgbColor rgb="FFFFEB9C"/>
      <rgbColor rgb="FFE8DAEF"/>
      <rgbColor rgb="FFF2F2F2"/>
      <rgbColor rgb="FFF5F8FF"/>
      <rgbColor rgb="FFFFC7CE"/>
      <rgbColor rgb="FF4472C4"/>
      <rgbColor rgb="FF33CCCC"/>
      <rgbColor rgb="FF99CC00"/>
      <rgbColor rgb="FFFFCC00"/>
      <rgbColor rgb="FFFF9900"/>
      <rgbColor rgb="FFE67E22"/>
      <rgbColor rgb="FF666666"/>
      <rgbColor rgb="FF70AD47"/>
      <rgbColor rgb="FF1B2A4A"/>
      <rgbColor rgb="FF339966"/>
      <rgbColor rgb="FF003300"/>
      <rgbColor rgb="FF276221"/>
      <rgbColor rgb="FF9C5700"/>
      <rgbColor rgb="FF555555"/>
      <rgbColor rgb="FF2E4D7B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M2 Nominal: Real vs Modelo (3 Escenarios)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Dashboard!$C$29</c:f>
              <c:strCache>
                <c:ptCount val="1"/>
                <c:pt idx="0">
                  <c:v>M2 Modelo 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Dashboard!$A$30:$B$42</c:f>
              <c:multiLvlStrCache>
                <c:ptCount val="13"/>
                <c:lvl>
                  <c:pt idx="0">
                    <c:v>5.823.100</c:v>
                  </c:pt>
                  <c:pt idx="1">
                    <c:v>7.131.334</c:v>
                  </c:pt>
                  <c:pt idx="2">
                    <c:v>9.165.145</c:v>
                  </c:pt>
                  <c:pt idx="3">
                    <c:v>12.016.718</c:v>
                  </c:pt>
                  <c:pt idx="4">
                    <c:v>19.351.532</c:v>
                  </c:pt>
                  <c:pt idx="5">
                    <c:v>33.612.280</c:v>
                  </c:pt>
                  <c:pt idx="6">
                    <c:v>43.507.037</c:v>
                  </c:pt>
                  <c:pt idx="7">
                    <c:v>50.512.401</c:v>
                  </c:pt>
                  <c:pt idx="8">
                    <c:v>58.090.360</c:v>
                  </c:pt>
                  <c:pt idx="9">
                    <c:v>59.100.640</c:v>
                  </c:pt>
                </c:lvl>
                <c:lvl>
                  <c:pt idx="0">
                    <c:v>ene-22</c:v>
                  </c:pt>
                  <c:pt idx="1">
                    <c:v>22-jul</c:v>
                  </c:pt>
                  <c:pt idx="2">
                    <c:v>ene-23</c:v>
                  </c:pt>
                  <c:pt idx="3">
                    <c:v>23-jul</c:v>
                  </c:pt>
                  <c:pt idx="4">
                    <c:v>ene-24</c:v>
                  </c:pt>
                  <c:pt idx="5">
                    <c:v>24-jul</c:v>
                  </c:pt>
                  <c:pt idx="6">
                    <c:v>dic-24</c:v>
                  </c:pt>
                  <c:pt idx="7">
                    <c:v>25-jun</c:v>
                  </c:pt>
                  <c:pt idx="8">
                    <c:v>dic-25</c:v>
                  </c:pt>
                  <c:pt idx="9">
                    <c:v>26-mar</c:v>
                  </c:pt>
                  <c:pt idx="10">
                    <c:v>26-jun</c:v>
                  </c:pt>
                  <c:pt idx="11">
                    <c:v>26-sept</c:v>
                  </c:pt>
                  <c:pt idx="12">
                    <c:v>dic-26</c:v>
                  </c:pt>
                </c:lvl>
              </c:multiLvlStrCache>
            </c:multiLvlStrRef>
          </c:cat>
          <c:val>
            <c:numRef>
              <c:f>Dashboard!$C$30:$C$42</c:f>
              <c:numCache>
                <c:formatCode>#,##0</c:formatCode>
                <c:ptCount val="13"/>
                <c:pt idx="0">
                  <c:v>5823099.8511935482</c:v>
                </c:pt>
                <c:pt idx="1">
                  <c:v>7471290.7892356198</c:v>
                </c:pt>
                <c:pt idx="2">
                  <c:v>9353671.2733309679</c:v>
                </c:pt>
                <c:pt idx="3">
                  <c:v>10197034.094341299</c:v>
                </c:pt>
                <c:pt idx="4">
                  <c:v>20074720.377052434</c:v>
                </c:pt>
                <c:pt idx="5">
                  <c:v>25731996.849005993</c:v>
                </c:pt>
                <c:pt idx="6">
                  <c:v>27834412.093705699</c:v>
                </c:pt>
                <c:pt idx="7">
                  <c:v>28368317.925072152</c:v>
                </c:pt>
                <c:pt idx="8">
                  <c:v>29614130.775834452</c:v>
                </c:pt>
                <c:pt idx="9">
                  <c:v>30637839.785378717</c:v>
                </c:pt>
                <c:pt idx="10">
                  <c:v>31076700.0601939</c:v>
                </c:pt>
                <c:pt idx="11">
                  <c:v>31031122.055868197</c:v>
                </c:pt>
                <c:pt idx="12">
                  <c:v>31753886.338689171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F-9048-8151-878F9ADFE6FB}"/>
            </c:ext>
          </c:extLst>
        </c:ser>
        <c:ser>
          <c:idx val="1"/>
          <c:order val="1"/>
          <c:tx>
            <c:strRef>
              <c:f>Dashboard!$D$29</c:f>
              <c:strCache>
                <c:ptCount val="1"/>
                <c:pt idx="0">
                  <c:v>M2 Modelo OPT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Dashboard!$A$30:$B$42</c:f>
              <c:multiLvlStrCache>
                <c:ptCount val="13"/>
                <c:lvl>
                  <c:pt idx="0">
                    <c:v>5.823.100</c:v>
                  </c:pt>
                  <c:pt idx="1">
                    <c:v>7.131.334</c:v>
                  </c:pt>
                  <c:pt idx="2">
                    <c:v>9.165.145</c:v>
                  </c:pt>
                  <c:pt idx="3">
                    <c:v>12.016.718</c:v>
                  </c:pt>
                  <c:pt idx="4">
                    <c:v>19.351.532</c:v>
                  </c:pt>
                  <c:pt idx="5">
                    <c:v>33.612.280</c:v>
                  </c:pt>
                  <c:pt idx="6">
                    <c:v>43.507.037</c:v>
                  </c:pt>
                  <c:pt idx="7">
                    <c:v>50.512.401</c:v>
                  </c:pt>
                  <c:pt idx="8">
                    <c:v>58.090.360</c:v>
                  </c:pt>
                  <c:pt idx="9">
                    <c:v>59.100.640</c:v>
                  </c:pt>
                </c:lvl>
                <c:lvl>
                  <c:pt idx="0">
                    <c:v>ene-22</c:v>
                  </c:pt>
                  <c:pt idx="1">
                    <c:v>22-jul</c:v>
                  </c:pt>
                  <c:pt idx="2">
                    <c:v>ene-23</c:v>
                  </c:pt>
                  <c:pt idx="3">
                    <c:v>23-jul</c:v>
                  </c:pt>
                  <c:pt idx="4">
                    <c:v>ene-24</c:v>
                  </c:pt>
                  <c:pt idx="5">
                    <c:v>24-jul</c:v>
                  </c:pt>
                  <c:pt idx="6">
                    <c:v>dic-24</c:v>
                  </c:pt>
                  <c:pt idx="7">
                    <c:v>25-jun</c:v>
                  </c:pt>
                  <c:pt idx="8">
                    <c:v>dic-25</c:v>
                  </c:pt>
                  <c:pt idx="9">
                    <c:v>26-mar</c:v>
                  </c:pt>
                  <c:pt idx="10">
                    <c:v>26-jun</c:v>
                  </c:pt>
                  <c:pt idx="11">
                    <c:v>26-sept</c:v>
                  </c:pt>
                  <c:pt idx="12">
                    <c:v>dic-26</c:v>
                  </c:pt>
                </c:lvl>
              </c:multiLvlStrCache>
            </c:multiLvlStrRef>
          </c:cat>
          <c:val>
            <c:numRef>
              <c:f>Dashboard!$D$30:$D$42</c:f>
              <c:numCache>
                <c:formatCode>#,##0</c:formatCode>
                <c:ptCount val="13"/>
                <c:pt idx="0">
                  <c:v>5823099.8511935482</c:v>
                </c:pt>
                <c:pt idx="1">
                  <c:v>7960845.4930923171</c:v>
                </c:pt>
                <c:pt idx="2">
                  <c:v>10592584.638095869</c:v>
                </c:pt>
                <c:pt idx="3">
                  <c:v>12038004.602327725</c:v>
                </c:pt>
                <c:pt idx="4">
                  <c:v>25061957.869555105</c:v>
                </c:pt>
                <c:pt idx="5">
                  <c:v>34188282.192692697</c:v>
                </c:pt>
                <c:pt idx="6">
                  <c:v>39003907.631785959</c:v>
                </c:pt>
                <c:pt idx="7">
                  <c:v>42245894.899870962</c:v>
                </c:pt>
                <c:pt idx="8">
                  <c:v>47000063.286051668</c:v>
                </c:pt>
                <c:pt idx="9">
                  <c:v>50178394.535488836</c:v>
                </c:pt>
                <c:pt idx="10">
                  <c:v>52516703.127232544</c:v>
                </c:pt>
                <c:pt idx="11">
                  <c:v>54108310.6423354</c:v>
                </c:pt>
                <c:pt idx="12">
                  <c:v>57130407.01115147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F-9048-8151-878F9ADFE6FB}"/>
            </c:ext>
          </c:extLst>
        </c:ser>
        <c:ser>
          <c:idx val="2"/>
          <c:order val="2"/>
          <c:tx>
            <c:strRef>
              <c:f>Dashboard!$E$29</c:f>
              <c:strCache>
                <c:ptCount val="1"/>
                <c:pt idx="0">
                  <c:v>M2 Modelo PES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Dashboard!$A$30:$B$42</c:f>
              <c:multiLvlStrCache>
                <c:ptCount val="13"/>
                <c:lvl>
                  <c:pt idx="0">
                    <c:v>5.823.100</c:v>
                  </c:pt>
                  <c:pt idx="1">
                    <c:v>7.131.334</c:v>
                  </c:pt>
                  <c:pt idx="2">
                    <c:v>9.165.145</c:v>
                  </c:pt>
                  <c:pt idx="3">
                    <c:v>12.016.718</c:v>
                  </c:pt>
                  <c:pt idx="4">
                    <c:v>19.351.532</c:v>
                  </c:pt>
                  <c:pt idx="5">
                    <c:v>33.612.280</c:v>
                  </c:pt>
                  <c:pt idx="6">
                    <c:v>43.507.037</c:v>
                  </c:pt>
                  <c:pt idx="7">
                    <c:v>50.512.401</c:v>
                  </c:pt>
                  <c:pt idx="8">
                    <c:v>58.090.360</c:v>
                  </c:pt>
                  <c:pt idx="9">
                    <c:v>59.100.640</c:v>
                  </c:pt>
                </c:lvl>
                <c:lvl>
                  <c:pt idx="0">
                    <c:v>ene-22</c:v>
                  </c:pt>
                  <c:pt idx="1">
                    <c:v>22-jul</c:v>
                  </c:pt>
                  <c:pt idx="2">
                    <c:v>ene-23</c:v>
                  </c:pt>
                  <c:pt idx="3">
                    <c:v>23-jul</c:v>
                  </c:pt>
                  <c:pt idx="4">
                    <c:v>ene-24</c:v>
                  </c:pt>
                  <c:pt idx="5">
                    <c:v>24-jul</c:v>
                  </c:pt>
                  <c:pt idx="6">
                    <c:v>dic-24</c:v>
                  </c:pt>
                  <c:pt idx="7">
                    <c:v>25-jun</c:v>
                  </c:pt>
                  <c:pt idx="8">
                    <c:v>dic-25</c:v>
                  </c:pt>
                  <c:pt idx="9">
                    <c:v>26-mar</c:v>
                  </c:pt>
                  <c:pt idx="10">
                    <c:v>26-jun</c:v>
                  </c:pt>
                  <c:pt idx="11">
                    <c:v>26-sept</c:v>
                  </c:pt>
                  <c:pt idx="12">
                    <c:v>dic-26</c:v>
                  </c:pt>
                </c:lvl>
              </c:multiLvlStrCache>
            </c:multiLvlStrRef>
          </c:cat>
          <c:val>
            <c:numRef>
              <c:f>Dashboard!$E$30:$E$42</c:f>
              <c:numCache>
                <c:formatCode>#,##0</c:formatCode>
                <c:ptCount val="13"/>
                <c:pt idx="0">
                  <c:v>5823099.8511935482</c:v>
                </c:pt>
                <c:pt idx="1">
                  <c:v>6568158.9488390228</c:v>
                </c:pt>
                <c:pt idx="2">
                  <c:v>7265861.8883168679</c:v>
                </c:pt>
                <c:pt idx="3">
                  <c:v>7272610.3254366061</c:v>
                </c:pt>
                <c:pt idx="4">
                  <c:v>12777372.501504196</c:v>
                </c:pt>
                <c:pt idx="5">
                  <c:v>14432842.477619292</c:v>
                </c:pt>
                <c:pt idx="6">
                  <c:v>14012980.422574405</c:v>
                </c:pt>
                <c:pt idx="7">
                  <c:v>12621321.85323061</c:v>
                </c:pt>
                <c:pt idx="8">
                  <c:v>11578381.445639627</c:v>
                </c:pt>
                <c:pt idx="9">
                  <c:v>11237720.03610063</c:v>
                </c:pt>
                <c:pt idx="10">
                  <c:v>10696383.083817562</c:v>
                </c:pt>
                <c:pt idx="11">
                  <c:v>10022625.812844262</c:v>
                </c:pt>
                <c:pt idx="12">
                  <c:v>9624161.6232391782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2F-9048-8151-878F9ADFE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8784575"/>
        <c:axId val="876235375"/>
      </c:lineChart>
      <c:catAx>
        <c:axId val="48878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876235375"/>
        <c:crosses val="autoZero"/>
        <c:auto val="1"/>
        <c:lblAlgn val="ctr"/>
        <c:lblOffset val="100"/>
        <c:noMultiLvlLbl val="0"/>
      </c:catAx>
      <c:valAx>
        <c:axId val="87623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88784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M2/PBI (%) vs Target 15.2%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Dashboard!$L$29</c:f>
              <c:strCache>
                <c:ptCount val="1"/>
                <c:pt idx="0">
                  <c:v>M2/PBI Real 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Dashboard!$K$30:$K$42</c:f>
              <c:strCache>
                <c:ptCount val="13"/>
                <c:pt idx="0">
                  <c:v>ene-22</c:v>
                </c:pt>
                <c:pt idx="1">
                  <c:v>22-jul</c:v>
                </c:pt>
                <c:pt idx="2">
                  <c:v>ene-23</c:v>
                </c:pt>
                <c:pt idx="3">
                  <c:v>23-jul</c:v>
                </c:pt>
                <c:pt idx="4">
                  <c:v>ene-24</c:v>
                </c:pt>
                <c:pt idx="5">
                  <c:v>24-jul</c:v>
                </c:pt>
                <c:pt idx="6">
                  <c:v>dic-24</c:v>
                </c:pt>
                <c:pt idx="7">
                  <c:v>25-jun</c:v>
                </c:pt>
                <c:pt idx="8">
                  <c:v>dic-25</c:v>
                </c:pt>
                <c:pt idx="9">
                  <c:v>26-mar</c:v>
                </c:pt>
                <c:pt idx="10">
                  <c:v>26-jun</c:v>
                </c:pt>
                <c:pt idx="11">
                  <c:v>26-sept</c:v>
                </c:pt>
                <c:pt idx="12">
                  <c:v>dic-26</c:v>
                </c:pt>
              </c:strCache>
            </c:strRef>
          </c:cat>
          <c:val>
            <c:numRef>
              <c:f>Dashboard!$L$30:$L$42</c:f>
              <c:numCache>
                <c:formatCode>0.00</c:formatCode>
                <c:ptCount val="13"/>
                <c:pt idx="0">
                  <c:v>8.4191180697714287</c:v>
                </c:pt>
                <c:pt idx="1">
                  <c:v>9.8029919455164993</c:v>
                </c:pt>
                <c:pt idx="2">
                  <c:v>13.060970974315643</c:v>
                </c:pt>
                <c:pt idx="3">
                  <c:v>16.657773080282333</c:v>
                </c:pt>
                <c:pt idx="4">
                  <c:v>28.940202118611129</c:v>
                </c:pt>
                <c:pt idx="5">
                  <c:v>47.437651256959455</c:v>
                </c:pt>
                <c:pt idx="6">
                  <c:v>61.214147995271595</c:v>
                </c:pt>
                <c:pt idx="7">
                  <c:v>65.048956527058237</c:v>
                </c:pt>
                <c:pt idx="8">
                  <c:v>75.192291654234054</c:v>
                </c:pt>
                <c:pt idx="9">
                  <c:v>74.488802080133027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F-2B45-815E-9DC801AA9722}"/>
            </c:ext>
          </c:extLst>
        </c:ser>
        <c:ser>
          <c:idx val="1"/>
          <c:order val="1"/>
          <c:tx>
            <c:strRef>
              <c:f>Dashboard!$M$29</c:f>
              <c:strCache>
                <c:ptCount val="1"/>
                <c:pt idx="0">
                  <c:v>Target 15.2%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Dashboard!$K$30:$K$42</c:f>
              <c:strCache>
                <c:ptCount val="13"/>
                <c:pt idx="0">
                  <c:v>ene-22</c:v>
                </c:pt>
                <c:pt idx="1">
                  <c:v>22-jul</c:v>
                </c:pt>
                <c:pt idx="2">
                  <c:v>ene-23</c:v>
                </c:pt>
                <c:pt idx="3">
                  <c:v>23-jul</c:v>
                </c:pt>
                <c:pt idx="4">
                  <c:v>ene-24</c:v>
                </c:pt>
                <c:pt idx="5">
                  <c:v>24-jul</c:v>
                </c:pt>
                <c:pt idx="6">
                  <c:v>dic-24</c:v>
                </c:pt>
                <c:pt idx="7">
                  <c:v>25-jun</c:v>
                </c:pt>
                <c:pt idx="8">
                  <c:v>dic-25</c:v>
                </c:pt>
                <c:pt idx="9">
                  <c:v>26-mar</c:v>
                </c:pt>
                <c:pt idx="10">
                  <c:v>26-jun</c:v>
                </c:pt>
                <c:pt idx="11">
                  <c:v>26-sept</c:v>
                </c:pt>
                <c:pt idx="12">
                  <c:v>dic-26</c:v>
                </c:pt>
              </c:strCache>
            </c:strRef>
          </c:cat>
          <c:val>
            <c:numRef>
              <c:f>Dashboard!$M$30:$M$42</c:f>
              <c:numCache>
                <c:formatCode>0.00</c:formatCode>
                <c:ptCount val="13"/>
                <c:pt idx="0">
                  <c:v>15.2</c:v>
                </c:pt>
                <c:pt idx="1">
                  <c:v>15.2</c:v>
                </c:pt>
                <c:pt idx="2">
                  <c:v>15.2</c:v>
                </c:pt>
                <c:pt idx="3">
                  <c:v>15.2</c:v>
                </c:pt>
                <c:pt idx="4">
                  <c:v>15.2</c:v>
                </c:pt>
                <c:pt idx="5">
                  <c:v>15.2</c:v>
                </c:pt>
                <c:pt idx="6">
                  <c:v>15.2</c:v>
                </c:pt>
                <c:pt idx="7">
                  <c:v>15.2</c:v>
                </c:pt>
                <c:pt idx="8">
                  <c:v>15.2</c:v>
                </c:pt>
                <c:pt idx="9">
                  <c:v>15.2</c:v>
                </c:pt>
                <c:pt idx="10">
                  <c:v>15.2</c:v>
                </c:pt>
                <c:pt idx="11">
                  <c:v>15.2</c:v>
                </c:pt>
                <c:pt idx="12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F-2B45-815E-9DC801AA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308527"/>
        <c:axId val="497883183"/>
      </c:lineChart>
      <c:catAx>
        <c:axId val="6603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7883183"/>
        <c:crosses val="autoZero"/>
        <c:auto val="1"/>
        <c:lblAlgn val="ctr"/>
        <c:lblOffset val="100"/>
        <c:noMultiLvlLbl val="0"/>
      </c:catAx>
      <c:valAx>
        <c:axId val="49788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6603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Velocidad de Circulación (PBI/M2)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Dashboard!$Q$29</c:f>
              <c:strCache>
                <c:ptCount val="1"/>
                <c:pt idx="0">
                  <c:v>Vel. Modelo BASE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Dashboard!$O$30:$P$42</c:f>
              <c:multiLvlStrCache>
                <c:ptCount val="13"/>
                <c:lvl>
                  <c:pt idx="0">
                    <c:v>0,1188</c:v>
                  </c:pt>
                  <c:pt idx="1">
                    <c:v>0,1020</c:v>
                  </c:pt>
                  <c:pt idx="2">
                    <c:v>0,0766</c:v>
                  </c:pt>
                  <c:pt idx="3">
                    <c:v>0,0600</c:v>
                  </c:pt>
                  <c:pt idx="4">
                    <c:v>0,0346</c:v>
                  </c:pt>
                  <c:pt idx="5">
                    <c:v>0,0211</c:v>
                  </c:pt>
                  <c:pt idx="6">
                    <c:v>0,0163</c:v>
                  </c:pt>
                  <c:pt idx="7">
                    <c:v>0,0154</c:v>
                  </c:pt>
                  <c:pt idx="8">
                    <c:v>0,0133</c:v>
                  </c:pt>
                  <c:pt idx="9">
                    <c:v>0,0134</c:v>
                  </c:pt>
                </c:lvl>
                <c:lvl>
                  <c:pt idx="0">
                    <c:v>ene-22</c:v>
                  </c:pt>
                  <c:pt idx="1">
                    <c:v>22-jul</c:v>
                  </c:pt>
                  <c:pt idx="2">
                    <c:v>ene-23</c:v>
                  </c:pt>
                  <c:pt idx="3">
                    <c:v>23-jul</c:v>
                  </c:pt>
                  <c:pt idx="4">
                    <c:v>ene-24</c:v>
                  </c:pt>
                  <c:pt idx="5">
                    <c:v>24-jul</c:v>
                  </c:pt>
                  <c:pt idx="6">
                    <c:v>dic-24</c:v>
                  </c:pt>
                  <c:pt idx="7">
                    <c:v>25-jun</c:v>
                  </c:pt>
                  <c:pt idx="8">
                    <c:v>dic-25</c:v>
                  </c:pt>
                  <c:pt idx="9">
                    <c:v>26-mar</c:v>
                  </c:pt>
                  <c:pt idx="10">
                    <c:v>26-jun</c:v>
                  </c:pt>
                  <c:pt idx="11">
                    <c:v>26-sept</c:v>
                  </c:pt>
                  <c:pt idx="12">
                    <c:v>dic-26</c:v>
                  </c:pt>
                </c:lvl>
              </c:multiLvlStrCache>
            </c:multiLvlStrRef>
          </c:cat>
          <c:val>
            <c:numRef>
              <c:f>Dashboard!$Q$30:$Q$42</c:f>
              <c:numCache>
                <c:formatCode>0.0000</c:formatCode>
                <c:ptCount val="13"/>
                <c:pt idx="0">
                  <c:v>0.11877728661277095</c:v>
                </c:pt>
                <c:pt idx="1">
                  <c:v>9.7368047974803321E-2</c:v>
                </c:pt>
                <c:pt idx="2">
                  <c:v>7.5020810491890216E-2</c:v>
                </c:pt>
                <c:pt idx="3">
                  <c:v>7.0744884573870764E-2</c:v>
                </c:pt>
                <c:pt idx="4">
                  <c:v>3.3309206177754049E-2</c:v>
                </c:pt>
                <c:pt idx="5">
                  <c:v>2.7536028554557009E-2</c:v>
                </c:pt>
                <c:pt idx="6">
                  <c:v>2.5534399562932433E-2</c:v>
                </c:pt>
                <c:pt idx="7">
                  <c:v>2.7373106930449947E-2</c:v>
                </c:pt>
                <c:pt idx="8">
                  <c:v>2.6087457846793116E-2</c:v>
                </c:pt>
                <c:pt idx="9">
                  <c:v>2.5896618146893952E-2</c:v>
                </c:pt>
                <c:pt idx="10">
                  <c:v>2.6091443860833199E-2</c:v>
                </c:pt>
                <c:pt idx="11">
                  <c:v>2.6598626012681873E-2</c:v>
                </c:pt>
                <c:pt idx="12">
                  <c:v>2.6720297763356094E-2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5-5C41-BA6F-AAF24E1D3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8004847"/>
        <c:axId val="497536431"/>
      </c:lineChart>
      <c:catAx>
        <c:axId val="498004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7536431"/>
        <c:crosses val="autoZero"/>
        <c:auto val="1"/>
        <c:lblAlgn val="ctr"/>
        <c:lblOffset val="100"/>
        <c:noMultiLvlLbl val="0"/>
      </c:catAx>
      <c:valAx>
        <c:axId val="49753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98004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2</xdr:col>
      <xdr:colOff>381000</xdr:colOff>
      <xdr:row>57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B2832B-692E-7A80-B51F-148B8F01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43</xdr:row>
      <xdr:rowOff>0</xdr:rowOff>
    </xdr:from>
    <xdr:to>
      <xdr:col>8</xdr:col>
      <xdr:colOff>698500</xdr:colOff>
      <xdr:row>57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B3065A-7C22-5193-124B-0C39C453E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2</xdr:col>
      <xdr:colOff>381000</xdr:colOff>
      <xdr:row>73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12D11D-37C7-5EEE-8AD4-2CC1E8F58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01334D3-31B9-6240-928E-C5617B889582}">
  <we:reference id="wa200009404" version="1.0.0.8" store="es-MX" storeType="OMEX"/>
  <we:alternateReferences>
    <we:reference id="wa200009404" version="1.0.0.8" store="es-MX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</sheetPr>
  <dimension ref="A1:E29"/>
  <sheetViews>
    <sheetView showGridLines="0" topLeftCell="A11" zoomScaleNormal="100" workbookViewId="0">
      <selection activeCell="H23" sqref="H23"/>
    </sheetView>
  </sheetViews>
  <sheetFormatPr baseColWidth="10" defaultColWidth="8.6640625" defaultRowHeight="15"/>
  <cols>
    <col min="1" max="1" width="35" customWidth="1"/>
    <col min="2" max="3" width="16" customWidth="1"/>
    <col min="4" max="4" width="31.5" customWidth="1"/>
    <col min="5" max="5" width="39.83203125" customWidth="1"/>
  </cols>
  <sheetData>
    <row r="1" spans="1:5" ht="39.75" customHeight="1">
      <c r="A1" s="74" t="s">
        <v>0</v>
      </c>
      <c r="B1" s="74"/>
      <c r="C1" s="74"/>
      <c r="D1" s="74"/>
      <c r="E1" s="74"/>
    </row>
    <row r="2" spans="1:5" ht="15" customHeight="1">
      <c r="A2" s="1" t="s">
        <v>1</v>
      </c>
      <c r="B2" s="1" t="s">
        <v>2</v>
      </c>
    </row>
    <row r="4" spans="1:5" ht="15" customHeight="1">
      <c r="A4" s="76" t="s">
        <v>3</v>
      </c>
      <c r="B4" s="76"/>
      <c r="C4" s="76"/>
      <c r="D4" s="76"/>
      <c r="E4" s="76"/>
    </row>
    <row r="5" spans="1:5" ht="15" customHeight="1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</row>
    <row r="7" spans="1:5" ht="15" customHeight="1">
      <c r="A7" s="4" t="s">
        <v>9</v>
      </c>
      <c r="B7" s="5">
        <v>211.4</v>
      </c>
      <c r="C7" s="5">
        <v>55</v>
      </c>
      <c r="D7" s="5">
        <v>30</v>
      </c>
      <c r="E7" s="6" t="s">
        <v>10</v>
      </c>
    </row>
    <row r="8" spans="1:5" ht="15" customHeight="1">
      <c r="A8" s="4" t="s">
        <v>11</v>
      </c>
      <c r="B8" s="6"/>
      <c r="C8" s="7">
        <f>((1+B7/100)^(1/12)-1)*100</f>
        <v>9.9283942108989045</v>
      </c>
      <c r="D8" s="7">
        <v>2.5</v>
      </c>
      <c r="E8" s="6" t="s">
        <v>12</v>
      </c>
    </row>
    <row r="9" spans="1:5" ht="15" customHeight="1">
      <c r="A9" s="4" t="s">
        <v>13</v>
      </c>
      <c r="B9" s="5">
        <v>-1.7</v>
      </c>
      <c r="C9" s="5">
        <v>4.5</v>
      </c>
      <c r="D9" s="5">
        <v>3.5</v>
      </c>
      <c r="E9" s="6" t="s">
        <v>14</v>
      </c>
    </row>
    <row r="10" spans="1:5" ht="15" customHeight="1">
      <c r="A10" s="4" t="s">
        <v>15</v>
      </c>
      <c r="B10" s="5">
        <v>35</v>
      </c>
      <c r="C10" s="5">
        <v>28</v>
      </c>
      <c r="D10" s="5">
        <v>22</v>
      </c>
      <c r="E10" s="6" t="s">
        <v>16</v>
      </c>
    </row>
    <row r="11" spans="1:5" ht="15" customHeight="1">
      <c r="A11" s="4" t="s">
        <v>17</v>
      </c>
      <c r="B11" s="5">
        <v>1011</v>
      </c>
      <c r="C11" s="5">
        <v>1650</v>
      </c>
      <c r="D11" s="5">
        <v>2200</v>
      </c>
      <c r="E11" s="6" t="s">
        <v>18</v>
      </c>
    </row>
    <row r="12" spans="1:5" ht="15" customHeight="1">
      <c r="A12" s="4" t="s">
        <v>19</v>
      </c>
      <c r="B12" s="40">
        <f>583909615/1000</f>
        <v>583909.61499999999</v>
      </c>
      <c r="C12" s="41">
        <f>904980098/1000</f>
        <v>904980.098</v>
      </c>
      <c r="D12" s="42">
        <f>1004980098/1000</f>
        <v>1004980.098</v>
      </c>
      <c r="E12" s="6" t="s">
        <v>20</v>
      </c>
    </row>
    <row r="14" spans="1:5" ht="15" customHeight="1">
      <c r="A14" s="76" t="s">
        <v>21</v>
      </c>
      <c r="B14" s="76"/>
      <c r="C14" s="76"/>
      <c r="D14" s="76"/>
      <c r="E14" s="76"/>
    </row>
    <row r="15" spans="1:5" ht="23.25" customHeight="1">
      <c r="A15" s="3" t="s">
        <v>22</v>
      </c>
      <c r="B15" s="3" t="s">
        <v>23</v>
      </c>
      <c r="C15" s="3" t="s">
        <v>24</v>
      </c>
      <c r="D15" s="3" t="s">
        <v>25</v>
      </c>
      <c r="E15" s="3" t="s">
        <v>26</v>
      </c>
    </row>
    <row r="16" spans="1:5" ht="15" customHeight="1">
      <c r="A16" s="4" t="s">
        <v>27</v>
      </c>
      <c r="B16" s="5">
        <v>15.2</v>
      </c>
      <c r="C16" s="5">
        <v>17</v>
      </c>
      <c r="D16" s="5">
        <v>13</v>
      </c>
      <c r="E16" s="6" t="s">
        <v>28</v>
      </c>
    </row>
    <row r="17" spans="1:5" ht="15" customHeight="1">
      <c r="A17" s="8" t="s">
        <v>29</v>
      </c>
      <c r="B17" s="9">
        <v>-0.45</v>
      </c>
      <c r="C17" s="9">
        <v>-0.3</v>
      </c>
      <c r="D17" s="9">
        <v>-0.6</v>
      </c>
      <c r="E17" s="10" t="s">
        <v>30</v>
      </c>
    </row>
    <row r="18" spans="1:5" ht="15" customHeight="1">
      <c r="A18" s="4" t="s">
        <v>31</v>
      </c>
      <c r="B18" s="5">
        <v>1.1000000000000001</v>
      </c>
      <c r="C18" s="5">
        <v>1.2</v>
      </c>
      <c r="D18" s="5">
        <v>0.9</v>
      </c>
      <c r="E18" s="6" t="s">
        <v>32</v>
      </c>
    </row>
    <row r="19" spans="1:5" ht="15" customHeight="1">
      <c r="A19" s="8" t="s">
        <v>33</v>
      </c>
      <c r="B19" s="11">
        <f>1/(B16/100)</f>
        <v>6.5789473684210531</v>
      </c>
      <c r="C19" s="11">
        <f>1/(C16/100)</f>
        <v>5.8823529411764701</v>
      </c>
      <c r="D19" s="11">
        <f>1/(D16/100)</f>
        <v>7.6923076923076916</v>
      </c>
      <c r="E19" s="10" t="s">
        <v>34</v>
      </c>
    </row>
    <row r="20" spans="1:5" ht="15" customHeight="1">
      <c r="A20" s="4" t="s">
        <v>35</v>
      </c>
      <c r="B20" s="5">
        <v>-0.02</v>
      </c>
      <c r="C20" s="5">
        <v>-0.01</v>
      </c>
      <c r="D20" s="5">
        <v>-0.04</v>
      </c>
      <c r="E20" s="6" t="s">
        <v>36</v>
      </c>
    </row>
    <row r="21" spans="1:5" ht="15" customHeight="1">
      <c r="A21" s="8" t="s">
        <v>37</v>
      </c>
      <c r="B21" s="9">
        <v>2800</v>
      </c>
      <c r="C21" s="10"/>
      <c r="D21" s="10"/>
      <c r="E21" s="10" t="s">
        <v>38</v>
      </c>
    </row>
    <row r="24" spans="1:5" ht="15" customHeight="1">
      <c r="A24" s="76" t="s">
        <v>39</v>
      </c>
      <c r="B24" s="76"/>
      <c r="C24" s="76"/>
      <c r="D24" s="76"/>
      <c r="E24" s="76"/>
    </row>
    <row r="25" spans="1:5" ht="15" customHeight="1">
      <c r="A25" s="12" t="s">
        <v>40</v>
      </c>
      <c r="B25" s="77" t="s">
        <v>41</v>
      </c>
      <c r="C25" s="77"/>
      <c r="D25" s="77"/>
      <c r="E25" s="77"/>
    </row>
    <row r="26" spans="1:5" ht="15" customHeight="1">
      <c r="A26" s="13" t="s">
        <v>42</v>
      </c>
      <c r="B26" s="77" t="s">
        <v>43</v>
      </c>
      <c r="C26" s="77"/>
      <c r="D26" s="77"/>
      <c r="E26" s="77"/>
    </row>
    <row r="27" spans="1:5" ht="15" customHeight="1">
      <c r="A27" s="14" t="s">
        <v>44</v>
      </c>
      <c r="B27" s="77" t="s">
        <v>45</v>
      </c>
      <c r="C27" s="77"/>
      <c r="D27" s="77"/>
      <c r="E27" s="77"/>
    </row>
    <row r="28" spans="1:5" ht="15" customHeight="1">
      <c r="A28" s="15" t="s">
        <v>46</v>
      </c>
      <c r="B28" s="77" t="s">
        <v>47</v>
      </c>
      <c r="C28" s="77"/>
      <c r="D28" s="77"/>
      <c r="E28" s="77"/>
    </row>
    <row r="29" spans="1:5" ht="15" customHeight="1">
      <c r="A29" s="13" t="s">
        <v>48</v>
      </c>
      <c r="B29" s="78" t="s">
        <v>49</v>
      </c>
      <c r="C29" s="78"/>
      <c r="D29" s="78"/>
      <c r="E29" s="78"/>
    </row>
  </sheetData>
  <mergeCells count="9">
    <mergeCell ref="B26:E26"/>
    <mergeCell ref="B27:E27"/>
    <mergeCell ref="B28:E28"/>
    <mergeCell ref="B29:E29"/>
    <mergeCell ref="A1:E1"/>
    <mergeCell ref="A4:E4"/>
    <mergeCell ref="A14:E14"/>
    <mergeCell ref="A24:E24"/>
    <mergeCell ref="B25:E2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</sheetPr>
  <dimension ref="A1:BJ62"/>
  <sheetViews>
    <sheetView showGridLines="0" zoomScale="114" zoomScaleNormal="114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5" sqref="F5:F56"/>
    </sheetView>
  </sheetViews>
  <sheetFormatPr baseColWidth="10" defaultColWidth="8.6640625" defaultRowHeight="15"/>
  <cols>
    <col min="1" max="1" width="12" customWidth="1"/>
    <col min="2" max="2" width="13" customWidth="1"/>
    <col min="3" max="3" width="13" style="63" customWidth="1"/>
    <col min="4" max="4" width="13" customWidth="1"/>
    <col min="5" max="5" width="20.1640625" customWidth="1"/>
    <col min="6" max="6" width="19.33203125" customWidth="1"/>
    <col min="7" max="11" width="13" customWidth="1"/>
    <col min="12" max="13" width="11" customWidth="1"/>
    <col min="14" max="14" width="13" customWidth="1"/>
    <col min="15" max="15" width="14.5" customWidth="1"/>
  </cols>
  <sheetData>
    <row r="1" spans="1:62" ht="39.75" customHeight="1">
      <c r="A1" s="74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62" ht="15" customHeight="1">
      <c r="A2" s="81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4" spans="1:62" ht="15" customHeight="1">
      <c r="A4" s="2" t="s">
        <v>52</v>
      </c>
      <c r="B4" s="82" t="s">
        <v>53</v>
      </c>
      <c r="C4" s="82"/>
      <c r="D4" s="82"/>
      <c r="E4" s="82" t="s">
        <v>54</v>
      </c>
      <c r="F4" s="82"/>
      <c r="G4" s="82" t="s">
        <v>55</v>
      </c>
      <c r="H4" s="82"/>
      <c r="I4" s="82"/>
      <c r="J4" s="82"/>
      <c r="K4" s="82"/>
    </row>
    <row r="5" spans="1:62" ht="42" customHeight="1">
      <c r="A5" s="45" t="s">
        <v>56</v>
      </c>
      <c r="B5" s="45" t="s">
        <v>57</v>
      </c>
      <c r="C5" s="62" t="s">
        <v>58</v>
      </c>
      <c r="D5" s="45" t="s">
        <v>59</v>
      </c>
      <c r="E5" s="45" t="s">
        <v>60</v>
      </c>
      <c r="F5" s="46" t="s">
        <v>61</v>
      </c>
      <c r="G5" s="47" t="s">
        <v>210</v>
      </c>
      <c r="H5" s="44" t="s">
        <v>212</v>
      </c>
      <c r="I5" s="43" t="s">
        <v>214</v>
      </c>
      <c r="J5" s="45" t="s">
        <v>62</v>
      </c>
      <c r="K5" s="45" t="s">
        <v>63</v>
      </c>
      <c r="N5" t="s">
        <v>211</v>
      </c>
    </row>
    <row r="6" spans="1:62" ht="15" customHeight="1">
      <c r="A6" s="48" t="s">
        <v>64</v>
      </c>
      <c r="B6" s="49">
        <v>3602</v>
      </c>
      <c r="C6" s="64">
        <v>605.0317</v>
      </c>
      <c r="D6" s="50">
        <f t="shared" ref="D6:D37" si="0">IF(AND(B6&lt;&gt;"",C6&lt;&gt;""),B6/C6*100,"")</f>
        <v>595.34070694147101</v>
      </c>
      <c r="E6" s="49">
        <v>2697185</v>
      </c>
      <c r="F6" s="51">
        <v>5823099.8511935482</v>
      </c>
      <c r="G6" s="52">
        <f>IF(F6&lt;&gt;"",F6/6083.33*100,"")</f>
        <v>95722.241785231905</v>
      </c>
      <c r="H6" s="52">
        <f>691652000/1000</f>
        <v>691652</v>
      </c>
      <c r="I6" s="52">
        <f>F6*(100/C6)</f>
        <v>962445.41421442025</v>
      </c>
      <c r="J6" s="52">
        <f t="shared" ref="J6:J37" si="1">IF(G6&lt;&gt;"",1/(G6/100),"")</f>
        <v>1.0446892815607674E-3</v>
      </c>
      <c r="K6" s="52" t="s">
        <v>65</v>
      </c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</row>
    <row r="7" spans="1:62" ht="15" customHeight="1">
      <c r="A7" s="53" t="s">
        <v>66</v>
      </c>
      <c r="B7" s="54">
        <v>3785</v>
      </c>
      <c r="C7" s="63">
        <v>633.43409999999994</v>
      </c>
      <c r="D7" s="55">
        <f t="shared" si="0"/>
        <v>597.53650774405742</v>
      </c>
      <c r="E7" s="54">
        <v>2693490</v>
      </c>
      <c r="F7" s="51">
        <v>5785521.1879642848</v>
      </c>
      <c r="G7" s="56">
        <f t="shared" ref="G7:G17" si="2">IF(F7&lt;&gt;"",F7/6083.33*100,"")</f>
        <v>95104.509996404682</v>
      </c>
      <c r="H7" s="52">
        <f t="shared" ref="H7:H8" si="3">691652000/1000</f>
        <v>691652</v>
      </c>
      <c r="I7" s="52">
        <f>F7*(100/C7)</f>
        <v>913358.02539905661</v>
      </c>
      <c r="J7" s="56">
        <f t="shared" si="1"/>
        <v>1.0514748459750267E-3</v>
      </c>
      <c r="K7" s="56">
        <f t="shared" ref="K7:K38" si="4">IF(AND(F7&lt;&gt;"",F6&lt;&gt;""),(F7-F6)/F6*100,"")</f>
        <v>-0.64533777866716413</v>
      </c>
      <c r="N7">
        <v>633.43409999999994</v>
      </c>
    </row>
    <row r="8" spans="1:62" ht="15" customHeight="1">
      <c r="A8" s="48" t="s">
        <v>67</v>
      </c>
      <c r="B8" s="49">
        <v>3677</v>
      </c>
      <c r="C8" s="63">
        <v>676.0566</v>
      </c>
      <c r="D8" s="50">
        <f t="shared" si="0"/>
        <v>543.88937257620137</v>
      </c>
      <c r="E8" s="49">
        <v>2683061</v>
      </c>
      <c r="F8" s="51">
        <v>5747935.3948709676</v>
      </c>
      <c r="G8" s="52">
        <f t="shared" si="2"/>
        <v>94486.661004268506</v>
      </c>
      <c r="H8" s="52">
        <f t="shared" si="3"/>
        <v>691652</v>
      </c>
      <c r="I8" s="52">
        <f t="shared" ref="I7:I56" si="5">F8*(100/C8)</f>
        <v>850215.11436630716</v>
      </c>
      <c r="J8" s="52">
        <f t="shared" si="1"/>
        <v>1.0583504479588122E-3</v>
      </c>
      <c r="K8" s="52">
        <f t="shared" si="4"/>
        <v>-0.64965267384220349</v>
      </c>
      <c r="N8">
        <v>676.0566</v>
      </c>
    </row>
    <row r="9" spans="1:62" ht="15" customHeight="1">
      <c r="A9" s="53" t="s">
        <v>68</v>
      </c>
      <c r="B9" s="54">
        <v>3691</v>
      </c>
      <c r="C9" s="63">
        <v>716.93989999999997</v>
      </c>
      <c r="D9" s="55">
        <f t="shared" si="0"/>
        <v>514.82697503654072</v>
      </c>
      <c r="E9" s="54">
        <v>2716293</v>
      </c>
      <c r="F9" s="51">
        <v>5856017.079466667</v>
      </c>
      <c r="G9" s="56">
        <f t="shared" si="2"/>
        <v>96263.347204025878</v>
      </c>
      <c r="H9" s="56">
        <f>770220000/1000</f>
        <v>770220</v>
      </c>
      <c r="I9" s="52">
        <f t="shared" si="5"/>
        <v>816807.24973832082</v>
      </c>
      <c r="J9" s="56">
        <f t="shared" si="1"/>
        <v>1.0388169838729425E-3</v>
      </c>
      <c r="K9" s="56">
        <f t="shared" si="4"/>
        <v>1.880356635395442</v>
      </c>
      <c r="N9">
        <v>716.93989999999997</v>
      </c>
    </row>
    <row r="10" spans="1:62" ht="15" customHeight="1">
      <c r="A10" s="48" t="s">
        <v>69</v>
      </c>
      <c r="B10" s="49">
        <v>3742</v>
      </c>
      <c r="C10" s="63">
        <v>753.14700000000005</v>
      </c>
      <c r="D10" s="50">
        <f t="shared" si="0"/>
        <v>496.84855678904648</v>
      </c>
      <c r="E10" s="49">
        <v>2738608</v>
      </c>
      <c r="F10" s="51">
        <v>6047599.1845806446</v>
      </c>
      <c r="G10" s="52">
        <f t="shared" si="2"/>
        <v>99412.643808253779</v>
      </c>
      <c r="H10" s="56">
        <f t="shared" ref="H10:H11" si="6">770220000/1000</f>
        <v>770220</v>
      </c>
      <c r="I10" s="52">
        <f t="shared" si="5"/>
        <v>802977.2653387246</v>
      </c>
      <c r="J10" s="52">
        <f t="shared" si="1"/>
        <v>1.0059082644746789E-3</v>
      </c>
      <c r="K10" s="52">
        <f t="shared" si="4"/>
        <v>3.2715427997253346</v>
      </c>
      <c r="N10">
        <v>753.14700000000005</v>
      </c>
    </row>
    <row r="11" spans="1:62" ht="15" customHeight="1">
      <c r="A11" s="53" t="s">
        <v>70</v>
      </c>
      <c r="B11" s="54">
        <v>3841</v>
      </c>
      <c r="C11" s="63">
        <v>793.02779999999996</v>
      </c>
      <c r="D11" s="55">
        <f t="shared" si="0"/>
        <v>484.34619820389651</v>
      </c>
      <c r="E11" s="54">
        <v>2900663</v>
      </c>
      <c r="F11" s="51">
        <v>6498496.0971000008</v>
      </c>
      <c r="G11" s="56">
        <f t="shared" si="2"/>
        <v>106824.65191104215</v>
      </c>
      <c r="H11" s="56">
        <f t="shared" si="6"/>
        <v>770220</v>
      </c>
      <c r="I11" s="52">
        <f t="shared" si="5"/>
        <v>819453.7564887387</v>
      </c>
      <c r="J11" s="56">
        <f t="shared" si="1"/>
        <v>9.3611351135760906E-4</v>
      </c>
      <c r="K11" s="56">
        <f t="shared" si="4"/>
        <v>7.4558002069481155</v>
      </c>
      <c r="N11">
        <v>793.02779999999996</v>
      </c>
    </row>
    <row r="12" spans="1:62" ht="15" customHeight="1">
      <c r="A12" s="48" t="s">
        <v>71</v>
      </c>
      <c r="B12" s="49">
        <v>4206</v>
      </c>
      <c r="C12" s="63">
        <v>851.76099999999997</v>
      </c>
      <c r="D12" s="50">
        <f t="shared" si="0"/>
        <v>493.8004909827992</v>
      </c>
      <c r="E12" s="49">
        <v>3222863</v>
      </c>
      <c r="F12" s="51">
        <v>7131333.5356451599</v>
      </c>
      <c r="G12" s="52">
        <f t="shared" si="2"/>
        <v>117227.46482017513</v>
      </c>
      <c r="H12" s="52">
        <f>727465000/1000</f>
        <v>727465</v>
      </c>
      <c r="I12" s="52">
        <f t="shared" si="5"/>
        <v>837245.83957767021</v>
      </c>
      <c r="J12" s="52">
        <f t="shared" si="1"/>
        <v>8.5304241760579102E-4</v>
      </c>
      <c r="K12" s="52">
        <f t="shared" si="4"/>
        <v>9.738213720364735</v>
      </c>
      <c r="N12">
        <v>851.76099999999997</v>
      </c>
    </row>
    <row r="13" spans="1:62" ht="15" customHeight="1">
      <c r="A13" s="53" t="s">
        <v>72</v>
      </c>
      <c r="B13" s="54">
        <v>4275</v>
      </c>
      <c r="C13" s="63">
        <v>911.13160000000005</v>
      </c>
      <c r="D13" s="55">
        <f t="shared" si="0"/>
        <v>469.19676586785044</v>
      </c>
      <c r="E13" s="54">
        <v>3265224</v>
      </c>
      <c r="F13" s="51">
        <v>6997297.7259677397</v>
      </c>
      <c r="G13" s="56">
        <f t="shared" si="2"/>
        <v>115024.1352346123</v>
      </c>
      <c r="H13" s="52">
        <f t="shared" ref="H13:H14" si="7">727465000/1000</f>
        <v>727465</v>
      </c>
      <c r="I13" s="52">
        <f t="shared" si="5"/>
        <v>767978.82171661465</v>
      </c>
      <c r="J13" s="56">
        <f t="shared" si="1"/>
        <v>8.6938275863610807E-4</v>
      </c>
      <c r="K13" s="56">
        <f t="shared" si="4"/>
        <v>-1.8795335964508941</v>
      </c>
      <c r="N13">
        <v>911.13160000000005</v>
      </c>
    </row>
    <row r="14" spans="1:62" ht="15" customHeight="1">
      <c r="A14" s="48" t="s">
        <v>73</v>
      </c>
      <c r="B14" s="49">
        <v>4277</v>
      </c>
      <c r="C14" s="63">
        <v>967.30759999999998</v>
      </c>
      <c r="D14" s="50">
        <f t="shared" si="0"/>
        <v>442.1551117762333</v>
      </c>
      <c r="E14" s="49">
        <v>3189617</v>
      </c>
      <c r="F14" s="51">
        <v>7082746.2775666667</v>
      </c>
      <c r="G14" s="52">
        <f t="shared" si="2"/>
        <v>116428.76972918889</v>
      </c>
      <c r="H14" s="52">
        <f t="shared" si="7"/>
        <v>727465</v>
      </c>
      <c r="I14" s="52">
        <f t="shared" si="5"/>
        <v>732212.40870708204</v>
      </c>
      <c r="J14" s="52">
        <f t="shared" si="1"/>
        <v>8.5889424265667418E-4</v>
      </c>
      <c r="K14" s="52">
        <f t="shared" si="4"/>
        <v>1.2211650117704447</v>
      </c>
      <c r="N14">
        <v>967.30759999999998</v>
      </c>
    </row>
    <row r="15" spans="1:62" ht="15" customHeight="1">
      <c r="A15" s="53" t="s">
        <v>74</v>
      </c>
      <c r="B15" s="54">
        <v>4173</v>
      </c>
      <c r="C15" s="63">
        <v>1028.7059999999999</v>
      </c>
      <c r="D15" s="55">
        <f t="shared" si="0"/>
        <v>405.65526010346986</v>
      </c>
      <c r="E15" s="54">
        <v>3272869</v>
      </c>
      <c r="F15" s="51">
        <v>7313507.3240322582</v>
      </c>
      <c r="G15" s="56">
        <f t="shared" si="2"/>
        <v>120222.10407839552</v>
      </c>
      <c r="H15" s="56">
        <f>711199000/1000</f>
        <v>711199</v>
      </c>
      <c r="I15" s="52">
        <f t="shared" si="5"/>
        <v>710942.41931438702</v>
      </c>
      <c r="J15" s="56">
        <f t="shared" si="1"/>
        <v>8.317937933842107E-4</v>
      </c>
      <c r="K15" s="56">
        <f t="shared" si="4"/>
        <v>3.2580730330053744</v>
      </c>
      <c r="N15">
        <v>1028.7059999999999</v>
      </c>
    </row>
    <row r="16" spans="1:62" ht="15" customHeight="1">
      <c r="A16" s="48" t="s">
        <v>75</v>
      </c>
      <c r="B16" s="49">
        <v>4338</v>
      </c>
      <c r="C16" s="63">
        <v>1079.2787000000001</v>
      </c>
      <c r="D16" s="50">
        <f t="shared" si="0"/>
        <v>401.93510721558755</v>
      </c>
      <c r="E16" s="49">
        <v>3347330</v>
      </c>
      <c r="F16" s="51">
        <v>7592415.3309666663</v>
      </c>
      <c r="G16" s="52">
        <f t="shared" si="2"/>
        <v>124806.89574569631</v>
      </c>
      <c r="H16" s="56">
        <f t="shared" ref="H16:H17" si="8">711199000/1000</f>
        <v>711199</v>
      </c>
      <c r="I16" s="52">
        <f t="shared" si="5"/>
        <v>703471.24713632034</v>
      </c>
      <c r="J16" s="52">
        <f t="shared" si="1"/>
        <v>8.0123777939127439E-4</v>
      </c>
      <c r="K16" s="52">
        <f t="shared" si="4"/>
        <v>3.8136012528204297</v>
      </c>
      <c r="N16">
        <v>1079.2787000000001</v>
      </c>
    </row>
    <row r="17" spans="1:14" ht="15" customHeight="1">
      <c r="A17" s="53" t="s">
        <v>76</v>
      </c>
      <c r="B17" s="54">
        <v>5380</v>
      </c>
      <c r="C17" s="63">
        <v>1134.5875000000001</v>
      </c>
      <c r="D17" s="55">
        <f t="shared" si="0"/>
        <v>474.18114512983794</v>
      </c>
      <c r="E17" s="54">
        <v>3664321</v>
      </c>
      <c r="F17" s="51">
        <v>8739291.1055806447</v>
      </c>
      <c r="G17" s="56">
        <f t="shared" si="2"/>
        <v>143659.65853538516</v>
      </c>
      <c r="H17" s="56">
        <f t="shared" si="8"/>
        <v>711199</v>
      </c>
      <c r="I17" s="52">
        <f t="shared" si="5"/>
        <v>770261.53607197711</v>
      </c>
      <c r="J17" s="56">
        <f t="shared" si="1"/>
        <v>6.9608964005276924E-4</v>
      </c>
      <c r="K17" s="56">
        <f t="shared" si="4"/>
        <v>15.105545793000738</v>
      </c>
      <c r="N17">
        <v>1134.5875000000001</v>
      </c>
    </row>
    <row r="18" spans="1:14" ht="15" customHeight="1">
      <c r="A18" s="48" t="s">
        <v>77</v>
      </c>
      <c r="B18" s="49">
        <v>5280</v>
      </c>
      <c r="C18" s="63">
        <v>1202.979</v>
      </c>
      <c r="D18" s="50">
        <f t="shared" si="0"/>
        <v>438.91040491978657</v>
      </c>
      <c r="E18" s="49">
        <v>4117820</v>
      </c>
      <c r="F18" s="51">
        <v>9165144.5520967729</v>
      </c>
      <c r="G18" s="52">
        <f t="shared" ref="G18:G29" si="9">IF(F18&lt;&gt;"",F18/13916.67*100,"")</f>
        <v>65857.310348644984</v>
      </c>
      <c r="H18" s="52">
        <f>701720000/1000</f>
        <v>701720</v>
      </c>
      <c r="I18" s="52">
        <f t="shared" si="5"/>
        <v>761870.70199037332</v>
      </c>
      <c r="J18" s="52">
        <f t="shared" si="1"/>
        <v>1.5184343161086522E-3</v>
      </c>
      <c r="K18" s="52">
        <f t="shared" si="4"/>
        <v>4.8728602969203214</v>
      </c>
      <c r="N18">
        <v>1202.979</v>
      </c>
    </row>
    <row r="19" spans="1:14" ht="15" customHeight="1">
      <c r="A19" s="53" t="s">
        <v>78</v>
      </c>
      <c r="B19" s="54">
        <v>5350</v>
      </c>
      <c r="C19" s="63">
        <v>1282.7091</v>
      </c>
      <c r="D19" s="55">
        <f t="shared" si="0"/>
        <v>417.08599401064515</v>
      </c>
      <c r="E19" s="54">
        <v>4082962</v>
      </c>
      <c r="F19" s="51">
        <v>9191577.8914642856</v>
      </c>
      <c r="G19" s="56">
        <f t="shared" si="9"/>
        <v>66047.250466270198</v>
      </c>
      <c r="H19" s="52">
        <f t="shared" ref="H19:H20" si="10">701720000/1000</f>
        <v>701720</v>
      </c>
      <c r="I19" s="52">
        <f t="shared" si="5"/>
        <v>716575.40212853288</v>
      </c>
      <c r="J19" s="56">
        <f t="shared" si="1"/>
        <v>1.5140675697176704E-3</v>
      </c>
      <c r="K19" s="56">
        <f t="shared" si="4"/>
        <v>0.28841159260783594</v>
      </c>
      <c r="N19">
        <v>1282.7091</v>
      </c>
    </row>
    <row r="20" spans="1:14" ht="15" customHeight="1">
      <c r="A20" s="48" t="s">
        <v>79</v>
      </c>
      <c r="B20" s="49">
        <v>5480</v>
      </c>
      <c r="C20" s="63">
        <v>1381.1601000000001</v>
      </c>
      <c r="D20" s="50">
        <f t="shared" si="0"/>
        <v>396.76790547308747</v>
      </c>
      <c r="E20" s="49">
        <v>4090607</v>
      </c>
      <c r="F20" s="51">
        <v>9261501.9685806446</v>
      </c>
      <c r="G20" s="52">
        <f t="shared" si="9"/>
        <v>66549.698804244443</v>
      </c>
      <c r="H20" s="52">
        <f t="shared" si="10"/>
        <v>701720</v>
      </c>
      <c r="I20" s="52">
        <f t="shared" si="5"/>
        <v>670559.62365120777</v>
      </c>
      <c r="J20" s="52">
        <f t="shared" si="1"/>
        <v>1.5026364025200088E-3</v>
      </c>
      <c r="K20" s="52">
        <f t="shared" si="4"/>
        <v>0.76074073398533326</v>
      </c>
      <c r="N20">
        <v>1381.1601000000001</v>
      </c>
    </row>
    <row r="21" spans="1:14" ht="15" customHeight="1">
      <c r="A21" s="53" t="s">
        <v>80</v>
      </c>
      <c r="B21" s="54">
        <v>5620</v>
      </c>
      <c r="C21" s="63">
        <v>1497.2147</v>
      </c>
      <c r="D21" s="55">
        <f t="shared" si="0"/>
        <v>375.36366694769964</v>
      </c>
      <c r="E21" s="54">
        <v>4181288</v>
      </c>
      <c r="F21" s="51">
        <v>9890666.2382000014</v>
      </c>
      <c r="G21" s="56">
        <f t="shared" si="9"/>
        <v>71070.638580924904</v>
      </c>
      <c r="H21" s="56">
        <f>734207000/1000</f>
        <v>734207</v>
      </c>
      <c r="I21" s="52">
        <f t="shared" si="5"/>
        <v>660604.40351006447</v>
      </c>
      <c r="J21" s="56">
        <f t="shared" si="1"/>
        <v>1.4070508158743297E-3</v>
      </c>
      <c r="K21" s="56">
        <f t="shared" si="4"/>
        <v>6.7933286820407419</v>
      </c>
      <c r="N21">
        <v>1497.2147</v>
      </c>
    </row>
    <row r="22" spans="1:14" ht="15" customHeight="1">
      <c r="A22" s="48" t="s">
        <v>81</v>
      </c>
      <c r="B22" s="49">
        <v>5780</v>
      </c>
      <c r="C22" s="63">
        <v>1613.5895</v>
      </c>
      <c r="D22" s="50">
        <f t="shared" si="0"/>
        <v>358.20758625412475</v>
      </c>
      <c r="E22" s="57">
        <v>4293219</v>
      </c>
      <c r="F22" s="51">
        <v>10443007.89012903</v>
      </c>
      <c r="G22" s="52">
        <f t="shared" si="9"/>
        <v>75039.559680074541</v>
      </c>
      <c r="H22" s="56">
        <f t="shared" ref="H22:H23" si="11">734207000/1000</f>
        <v>734207</v>
      </c>
      <c r="I22" s="52">
        <f t="shared" si="5"/>
        <v>647191.11584012094</v>
      </c>
      <c r="J22" s="52">
        <f t="shared" si="1"/>
        <v>1.3326304208918923E-3</v>
      </c>
      <c r="K22" s="52">
        <f t="shared" si="4"/>
        <v>5.5844736706993441</v>
      </c>
      <c r="N22">
        <v>1613.5895</v>
      </c>
    </row>
    <row r="23" spans="1:14" ht="15" customHeight="1">
      <c r="A23" s="53" t="s">
        <v>82</v>
      </c>
      <c r="B23" s="54">
        <v>6000</v>
      </c>
      <c r="C23" s="63">
        <v>1709.6115</v>
      </c>
      <c r="D23" s="55">
        <f t="shared" si="0"/>
        <v>350.95692793362707</v>
      </c>
      <c r="E23" s="49">
        <v>4473209</v>
      </c>
      <c r="F23" s="51">
        <v>11184922.894133329</v>
      </c>
      <c r="G23" s="56">
        <f t="shared" si="9"/>
        <v>80370.684180434895</v>
      </c>
      <c r="H23" s="56">
        <f t="shared" si="11"/>
        <v>734207</v>
      </c>
      <c r="I23" s="52">
        <f t="shared" si="5"/>
        <v>654237.69634992094</v>
      </c>
      <c r="J23" s="56">
        <f t="shared" si="1"/>
        <v>1.2442347731605298E-3</v>
      </c>
      <c r="K23" s="56">
        <f t="shared" si="4"/>
        <v>7.1044186867423003</v>
      </c>
      <c r="N23">
        <v>1709.6115</v>
      </c>
    </row>
    <row r="24" spans="1:14" ht="15" customHeight="1">
      <c r="A24" s="48" t="s">
        <v>83</v>
      </c>
      <c r="B24" s="49">
        <v>6350</v>
      </c>
      <c r="C24" s="63">
        <v>1818.0838000000001</v>
      </c>
      <c r="D24" s="50">
        <f t="shared" si="0"/>
        <v>349.26882908257585</v>
      </c>
      <c r="E24" s="49">
        <v>4913338</v>
      </c>
      <c r="F24" s="51">
        <v>12016717.606838711</v>
      </c>
      <c r="G24" s="52">
        <f t="shared" si="9"/>
        <v>86347.650744313913</v>
      </c>
      <c r="H24" s="52">
        <f>721388000/1000</f>
        <v>721388</v>
      </c>
      <c r="I24" s="52">
        <f t="shared" si="5"/>
        <v>660955.10046559514</v>
      </c>
      <c r="J24" s="52">
        <f t="shared" si="1"/>
        <v>1.1581090989506175E-3</v>
      </c>
      <c r="K24" s="52">
        <f t="shared" si="4"/>
        <v>7.4367496367960735</v>
      </c>
      <c r="N24">
        <v>1818.0838000000001</v>
      </c>
    </row>
    <row r="25" spans="1:14" ht="15" customHeight="1">
      <c r="A25" s="53" t="s">
        <v>84</v>
      </c>
      <c r="B25" s="54">
        <v>6800</v>
      </c>
      <c r="C25" s="63">
        <v>2044.2832000000001</v>
      </c>
      <c r="D25" s="55">
        <f t="shared" si="0"/>
        <v>332.63493042451262</v>
      </c>
      <c r="E25" s="54">
        <v>5250966</v>
      </c>
      <c r="F25" s="51">
        <v>12637059.698096771</v>
      </c>
      <c r="G25" s="56">
        <f t="shared" si="9"/>
        <v>90805.197637773774</v>
      </c>
      <c r="H25" s="52">
        <f t="shared" ref="H25:H26" si="12">721388000/1000</f>
        <v>721388</v>
      </c>
      <c r="I25" s="52">
        <f t="shared" si="5"/>
        <v>618165.8049186517</v>
      </c>
      <c r="J25" s="56">
        <f t="shared" si="1"/>
        <v>1.101258546883018E-3</v>
      </c>
      <c r="K25" s="56">
        <f t="shared" si="4"/>
        <v>5.1623256163149218</v>
      </c>
      <c r="N25">
        <v>2044.2832000000001</v>
      </c>
    </row>
    <row r="26" spans="1:14" ht="15" customHeight="1">
      <c r="A26" s="48" t="s">
        <v>85</v>
      </c>
      <c r="B26" s="49">
        <v>7400</v>
      </c>
      <c r="C26" s="63">
        <v>2304.9241999999999</v>
      </c>
      <c r="D26" s="50">
        <f t="shared" si="0"/>
        <v>321.05177254852896</v>
      </c>
      <c r="E26" s="49">
        <v>5264239</v>
      </c>
      <c r="F26" s="51">
        <v>13333274.428533331</v>
      </c>
      <c r="G26" s="52">
        <f t="shared" si="9"/>
        <v>95807.937017500095</v>
      </c>
      <c r="H26" s="52">
        <f t="shared" si="12"/>
        <v>721388</v>
      </c>
      <c r="I26" s="52">
        <f t="shared" si="5"/>
        <v>578469.10664278374</v>
      </c>
      <c r="J26" s="52">
        <f t="shared" si="1"/>
        <v>1.0437548611628511E-3</v>
      </c>
      <c r="K26" s="52">
        <f t="shared" si="4"/>
        <v>5.5093094997518657</v>
      </c>
      <c r="N26">
        <v>2304.9241999999999</v>
      </c>
    </row>
    <row r="27" spans="1:14" ht="15" customHeight="1">
      <c r="A27" s="53" t="s">
        <v>86</v>
      </c>
      <c r="B27" s="54">
        <v>8200</v>
      </c>
      <c r="C27" s="63">
        <v>2496.2730000000001</v>
      </c>
      <c r="D27" s="55">
        <f t="shared" si="0"/>
        <v>328.48971246334031</v>
      </c>
      <c r="E27" s="54">
        <v>5901175</v>
      </c>
      <c r="F27" s="51">
        <v>14992999.00612903</v>
      </c>
      <c r="G27" s="56">
        <f t="shared" si="9"/>
        <v>107734.09879036457</v>
      </c>
      <c r="H27" s="56">
        <f>700911000/1000</f>
        <v>700911</v>
      </c>
      <c r="I27" s="52">
        <f t="shared" si="5"/>
        <v>600615.35762030142</v>
      </c>
      <c r="J27" s="56">
        <f t="shared" si="1"/>
        <v>9.2821122674062505E-4</v>
      </c>
      <c r="K27" s="56">
        <f t="shared" si="4"/>
        <v>12.447989325441871</v>
      </c>
      <c r="N27">
        <v>2496.2730000000001</v>
      </c>
    </row>
    <row r="28" spans="1:14" ht="15" customHeight="1">
      <c r="A28" s="48" t="s">
        <v>87</v>
      </c>
      <c r="B28" s="49">
        <v>9500</v>
      </c>
      <c r="C28" s="63">
        <v>2816.0628000000002</v>
      </c>
      <c r="D28" s="50">
        <f t="shared" si="0"/>
        <v>337.35043124748495</v>
      </c>
      <c r="E28" s="49">
        <v>5954693</v>
      </c>
      <c r="F28" s="51">
        <v>15594361.659866661</v>
      </c>
      <c r="G28" s="52">
        <f t="shared" si="9"/>
        <v>112055.26652472654</v>
      </c>
      <c r="H28" s="56">
        <f t="shared" ref="H28:H29" si="13">700911000/1000</f>
        <v>700911</v>
      </c>
      <c r="I28" s="52">
        <f t="shared" si="5"/>
        <v>553764.69799844886</v>
      </c>
      <c r="J28" s="52">
        <f t="shared" si="1"/>
        <v>8.924167788038202E-4</v>
      </c>
      <c r="K28" s="52">
        <f t="shared" si="4"/>
        <v>4.0109564036641228</v>
      </c>
      <c r="N28">
        <v>2816.0628000000002</v>
      </c>
    </row>
    <row r="29" spans="1:14" ht="15" customHeight="1">
      <c r="A29" s="53" t="s">
        <v>88</v>
      </c>
      <c r="B29" s="54">
        <v>10650</v>
      </c>
      <c r="C29" s="63">
        <v>3533.1922</v>
      </c>
      <c r="D29" s="55">
        <f t="shared" si="0"/>
        <v>301.42713436308389</v>
      </c>
      <c r="E29" s="54">
        <v>6657990</v>
      </c>
      <c r="F29" s="51">
        <v>18723635.61996774</v>
      </c>
      <c r="G29" s="56">
        <f t="shared" si="9"/>
        <v>134541.06204981322</v>
      </c>
      <c r="H29" s="56">
        <f t="shared" si="13"/>
        <v>700911</v>
      </c>
      <c r="I29" s="52">
        <f t="shared" si="5"/>
        <v>529935.3830784451</v>
      </c>
      <c r="J29" s="56">
        <f t="shared" si="1"/>
        <v>7.4326750864338689E-4</v>
      </c>
      <c r="K29" s="56">
        <f t="shared" si="4"/>
        <v>20.066701211339204</v>
      </c>
      <c r="N29">
        <v>3533.1922</v>
      </c>
    </row>
    <row r="30" spans="1:14" ht="15" customHeight="1">
      <c r="A30" s="48" t="s">
        <v>89</v>
      </c>
      <c r="B30" s="49">
        <v>9800</v>
      </c>
      <c r="C30" s="63">
        <v>4261.5324000000001</v>
      </c>
      <c r="D30" s="50">
        <f t="shared" si="0"/>
        <v>229.96422601409762</v>
      </c>
      <c r="E30" s="49">
        <v>7469959</v>
      </c>
      <c r="F30" s="51">
        <v>19351531.77125806</v>
      </c>
      <c r="G30" s="52">
        <f t="shared" ref="G30:G41" si="14">IF(F30&lt;&gt;"",F30/66666.67*100,"")</f>
        <v>29027.296205522282</v>
      </c>
      <c r="H30" s="52">
        <f>668673000/1000</f>
        <v>668673</v>
      </c>
      <c r="I30" s="52">
        <f t="shared" si="5"/>
        <v>454097.96183312038</v>
      </c>
      <c r="J30" s="52">
        <f t="shared" si="1"/>
        <v>3.4450332298250896E-3</v>
      </c>
      <c r="K30" s="52">
        <f t="shared" si="4"/>
        <v>3.3534948235197586</v>
      </c>
      <c r="N30">
        <v>4261.5324000000001</v>
      </c>
    </row>
    <row r="31" spans="1:14" ht="15" customHeight="1">
      <c r="A31" s="53" t="s">
        <v>90</v>
      </c>
      <c r="B31" s="54">
        <v>9200</v>
      </c>
      <c r="C31" s="63">
        <v>4825.7880999999998</v>
      </c>
      <c r="D31" s="55">
        <f t="shared" si="0"/>
        <v>190.6424362064302</v>
      </c>
      <c r="E31" s="54">
        <v>7728049</v>
      </c>
      <c r="F31" s="51">
        <v>19960314.932620689</v>
      </c>
      <c r="G31" s="56">
        <f t="shared" si="14"/>
        <v>29940.470901907491</v>
      </c>
      <c r="H31" s="52">
        <f t="shared" ref="H31:H32" si="15">668673000/1000</f>
        <v>668673</v>
      </c>
      <c r="I31" s="52">
        <f t="shared" si="5"/>
        <v>413617.72458721697</v>
      </c>
      <c r="J31" s="56">
        <f t="shared" si="1"/>
        <v>3.3399608285262158E-3</v>
      </c>
      <c r="K31" s="56">
        <f t="shared" si="4"/>
        <v>3.1459171736824834</v>
      </c>
      <c r="N31">
        <v>4825.7880999999998</v>
      </c>
    </row>
    <row r="32" spans="1:14" ht="15" customHeight="1">
      <c r="A32" s="48" t="s">
        <v>91</v>
      </c>
      <c r="B32" s="49">
        <v>9800</v>
      </c>
      <c r="C32" s="63">
        <v>5357.0928999999996</v>
      </c>
      <c r="D32" s="50">
        <f t="shared" si="0"/>
        <v>182.93503926355282</v>
      </c>
      <c r="E32" s="49">
        <v>7808628</v>
      </c>
      <c r="F32" s="51">
        <v>21401146.311516128</v>
      </c>
      <c r="G32" s="52">
        <f t="shared" si="14"/>
        <v>32101.717862188299</v>
      </c>
      <c r="H32" s="52">
        <f t="shared" si="15"/>
        <v>668673</v>
      </c>
      <c r="I32" s="52">
        <f t="shared" si="5"/>
        <v>399491.7898757389</v>
      </c>
      <c r="J32" s="52">
        <f t="shared" si="1"/>
        <v>3.1150980900553973E-3</v>
      </c>
      <c r="K32" s="52">
        <f t="shared" si="4"/>
        <v>7.218480188109262</v>
      </c>
      <c r="N32">
        <v>5357.0928999999996</v>
      </c>
    </row>
    <row r="33" spans="1:14" ht="15" customHeight="1">
      <c r="A33" s="53" t="s">
        <v>92</v>
      </c>
      <c r="B33" s="54">
        <v>10500</v>
      </c>
      <c r="C33" s="63">
        <v>5830.2271000000001</v>
      </c>
      <c r="D33" s="55">
        <f t="shared" si="0"/>
        <v>180.09590055248447</v>
      </c>
      <c r="E33" s="54">
        <v>8475420</v>
      </c>
      <c r="F33" s="51">
        <v>22271119.945233341</v>
      </c>
      <c r="G33" s="56">
        <f t="shared" si="14"/>
        <v>33406.678247516102</v>
      </c>
      <c r="H33" s="56">
        <f>720760000/1000</f>
        <v>720760</v>
      </c>
      <c r="I33" s="52">
        <f t="shared" si="5"/>
        <v>381994.03836659022</v>
      </c>
      <c r="J33" s="56">
        <f t="shared" si="1"/>
        <v>2.99341345042096E-3</v>
      </c>
      <c r="K33" s="56">
        <f t="shared" si="4"/>
        <v>4.0650796039325847</v>
      </c>
      <c r="N33">
        <v>5830.2271000000001</v>
      </c>
    </row>
    <row r="34" spans="1:14" ht="15" customHeight="1">
      <c r="A34" s="48" t="s">
        <v>93</v>
      </c>
      <c r="B34" s="49">
        <v>11200</v>
      </c>
      <c r="C34" s="63">
        <v>6073.7165000000005</v>
      </c>
      <c r="D34" s="50">
        <f t="shared" si="0"/>
        <v>184.4010993927688</v>
      </c>
      <c r="E34" s="49">
        <v>9396932</v>
      </c>
      <c r="F34" s="51">
        <v>25334940.72461291</v>
      </c>
      <c r="G34" s="52">
        <f t="shared" si="14"/>
        <v>38002.409186798905</v>
      </c>
      <c r="H34" s="56">
        <f t="shared" ref="H34:H35" si="16">720760000/1000</f>
        <v>720760</v>
      </c>
      <c r="I34" s="52">
        <f t="shared" si="5"/>
        <v>417124.18952404032</v>
      </c>
      <c r="J34" s="52">
        <f t="shared" si="1"/>
        <v>2.6314121167543641E-3</v>
      </c>
      <c r="K34" s="52">
        <f t="shared" si="4"/>
        <v>13.756922808164907</v>
      </c>
      <c r="N34">
        <v>6073.7165000000005</v>
      </c>
    </row>
    <row r="35" spans="1:14" ht="15" customHeight="1">
      <c r="A35" s="53" t="s">
        <v>94</v>
      </c>
      <c r="B35" s="54">
        <v>12100</v>
      </c>
      <c r="C35" s="63">
        <v>6351.7145</v>
      </c>
      <c r="D35" s="55">
        <f t="shared" si="0"/>
        <v>190.49974617089606</v>
      </c>
      <c r="E35" s="54">
        <v>11099440</v>
      </c>
      <c r="F35" s="51">
        <v>30075158.184733331</v>
      </c>
      <c r="G35" s="56">
        <f t="shared" si="14"/>
        <v>45112.735021463246</v>
      </c>
      <c r="H35" s="56">
        <f t="shared" si="16"/>
        <v>720760</v>
      </c>
      <c r="I35" s="52">
        <f t="shared" si="5"/>
        <v>473496.6942348138</v>
      </c>
      <c r="J35" s="56">
        <f t="shared" si="1"/>
        <v>2.216668972795001E-3</v>
      </c>
      <c r="K35" s="56">
        <f t="shared" si="4"/>
        <v>18.71019755540733</v>
      </c>
      <c r="N35">
        <v>6351.7145</v>
      </c>
    </row>
    <row r="36" spans="1:14" ht="15" customHeight="1">
      <c r="A36" s="48" t="s">
        <v>95</v>
      </c>
      <c r="B36" s="49">
        <v>13200</v>
      </c>
      <c r="C36" s="63">
        <v>6607.7479000000003</v>
      </c>
      <c r="D36" s="50">
        <f t="shared" si="0"/>
        <v>199.76549044796337</v>
      </c>
      <c r="E36" s="49">
        <v>13497159</v>
      </c>
      <c r="F36" s="51">
        <v>33612279.861677423</v>
      </c>
      <c r="G36" s="52">
        <f t="shared" si="14"/>
        <v>50418.417271595274</v>
      </c>
      <c r="H36" s="52">
        <f>708557000/1000</f>
        <v>708557</v>
      </c>
      <c r="I36" s="52">
        <f t="shared" si="5"/>
        <v>508679.81603349937</v>
      </c>
      <c r="J36" s="52">
        <f t="shared" si="1"/>
        <v>1.9834022052163465E-3</v>
      </c>
      <c r="K36" s="52">
        <f t="shared" si="4"/>
        <v>11.760941223376827</v>
      </c>
      <c r="N36">
        <v>6607.7479000000003</v>
      </c>
    </row>
    <row r="37" spans="1:14" ht="15" customHeight="1">
      <c r="A37" s="53" t="s">
        <v>96</v>
      </c>
      <c r="B37" s="54">
        <v>14500</v>
      </c>
      <c r="C37" s="63">
        <v>6883.4412000000002</v>
      </c>
      <c r="D37" s="55">
        <f t="shared" si="0"/>
        <v>210.6504519861374</v>
      </c>
      <c r="E37" s="54">
        <v>14165423</v>
      </c>
      <c r="F37" s="51">
        <v>33839196.563032247</v>
      </c>
      <c r="G37" s="56">
        <f t="shared" si="14"/>
        <v>50758.792306608753</v>
      </c>
      <c r="H37" s="52">
        <f t="shared" ref="H37:H38" si="17">708557000/1000</f>
        <v>708557</v>
      </c>
      <c r="I37" s="52">
        <f t="shared" si="5"/>
        <v>491602.90005865443</v>
      </c>
      <c r="J37" s="56">
        <f t="shared" si="1"/>
        <v>1.9701020346573552E-3</v>
      </c>
      <c r="K37" s="56">
        <f t="shared" si="4"/>
        <v>0.67510059504633591</v>
      </c>
      <c r="N37">
        <v>6883.4412000000002</v>
      </c>
    </row>
    <row r="38" spans="1:14" ht="15" customHeight="1">
      <c r="A38" s="48" t="s">
        <v>97</v>
      </c>
      <c r="B38" s="49">
        <v>16000</v>
      </c>
      <c r="C38" s="63">
        <v>7122.2421000000004</v>
      </c>
      <c r="D38" s="50">
        <f t="shared" ref="D38:D55" si="18">IF(AND(B38&lt;&gt;"",C38&lt;&gt;""),B38/C38*100,"")</f>
        <v>224.64835897673288</v>
      </c>
      <c r="E38" s="49">
        <v>14560549</v>
      </c>
      <c r="F38" s="51">
        <v>34582161.287566669</v>
      </c>
      <c r="G38" s="52">
        <f t="shared" si="14"/>
        <v>51873.239337688043</v>
      </c>
      <c r="H38" s="52">
        <f t="shared" si="17"/>
        <v>708557</v>
      </c>
      <c r="I38" s="52">
        <f t="shared" si="5"/>
        <v>485551.6114450345</v>
      </c>
      <c r="J38" s="52">
        <f t="shared" ref="J38:J55" si="19">IF(G38&lt;&gt;"",1/(G38/100),"")</f>
        <v>1.9277762730222612E-3</v>
      </c>
      <c r="K38" s="52">
        <f t="shared" si="4"/>
        <v>2.1955743634471414</v>
      </c>
      <c r="N38">
        <v>7122.2421000000004</v>
      </c>
    </row>
    <row r="39" spans="1:14" ht="15" customHeight="1">
      <c r="A39" s="53" t="s">
        <v>98</v>
      </c>
      <c r="B39" s="54">
        <v>17800</v>
      </c>
      <c r="C39" s="63">
        <v>7313.9542000000001</v>
      </c>
      <c r="D39" s="55">
        <f t="shared" si="18"/>
        <v>243.37040557349948</v>
      </c>
      <c r="E39" s="54">
        <v>15246086</v>
      </c>
      <c r="F39" s="51">
        <v>35777674.734903231</v>
      </c>
      <c r="G39" s="56">
        <f t="shared" si="14"/>
        <v>53666.509419029375</v>
      </c>
      <c r="H39" s="56">
        <f>710735000/1000</f>
        <v>710735</v>
      </c>
      <c r="I39" s="52">
        <f t="shared" si="5"/>
        <v>489170.06801742391</v>
      </c>
      <c r="J39" s="56">
        <f t="shared" si="19"/>
        <v>1.8633594970598449E-3</v>
      </c>
      <c r="K39" s="56">
        <f t="shared" ref="K39:K55" si="20">IF(AND(F39&lt;&gt;"",F38&lt;&gt;""),(F39-F38)/F38*100,"")</f>
        <v>3.4570235139305336</v>
      </c>
      <c r="N39">
        <v>7313.9542000000001</v>
      </c>
    </row>
    <row r="40" spans="1:14" ht="15" customHeight="1">
      <c r="A40" s="48" t="s">
        <v>99</v>
      </c>
      <c r="B40" s="49">
        <v>20200</v>
      </c>
      <c r="C40" s="63">
        <v>7491.4314000000004</v>
      </c>
      <c r="D40" s="50">
        <f t="shared" si="18"/>
        <v>269.64139323227334</v>
      </c>
      <c r="E40" s="49">
        <v>15822726</v>
      </c>
      <c r="F40" s="51">
        <v>37859693.148866661</v>
      </c>
      <c r="G40" s="52">
        <f t="shared" si="14"/>
        <v>56789.536883823144</v>
      </c>
      <c r="H40" s="56">
        <f>710735000/1000</f>
        <v>710735</v>
      </c>
      <c r="I40" s="52">
        <f t="shared" si="5"/>
        <v>505373.28752508713</v>
      </c>
      <c r="J40" s="52">
        <f t="shared" si="19"/>
        <v>1.7608877530481434E-3</v>
      </c>
      <c r="K40" s="52">
        <f t="shared" si="20"/>
        <v>5.8193228861022037</v>
      </c>
      <c r="N40">
        <v>7491.4314000000004</v>
      </c>
    </row>
    <row r="41" spans="1:14" ht="15" customHeight="1">
      <c r="A41" s="53" t="s">
        <v>100</v>
      </c>
      <c r="B41" s="54">
        <v>22500</v>
      </c>
      <c r="C41" s="63">
        <v>7694.0074999999997</v>
      </c>
      <c r="D41" s="55">
        <f t="shared" si="18"/>
        <v>292.43537909210511</v>
      </c>
      <c r="E41" s="54">
        <v>17418233</v>
      </c>
      <c r="F41" s="51">
        <v>43507037.475419357</v>
      </c>
      <c r="G41" s="56">
        <f t="shared" si="14"/>
        <v>65260.552950101388</v>
      </c>
      <c r="H41" s="56">
        <f>710735000/1000</f>
        <v>710735</v>
      </c>
      <c r="I41" s="52">
        <f t="shared" si="5"/>
        <v>565466.5332132749</v>
      </c>
      <c r="J41" s="56">
        <f t="shared" si="19"/>
        <v>1.5323192262324317E-3</v>
      </c>
      <c r="K41" s="56">
        <f t="shared" si="20"/>
        <v>14.916508446983414</v>
      </c>
      <c r="N41">
        <v>7694.0074999999997</v>
      </c>
    </row>
    <row r="42" spans="1:14" ht="15" customHeight="1">
      <c r="A42" s="48" t="s">
        <v>101</v>
      </c>
      <c r="B42" s="49">
        <v>23500</v>
      </c>
      <c r="C42" s="63">
        <v>7864.1256999999996</v>
      </c>
      <c r="D42" s="50">
        <f t="shared" si="18"/>
        <v>298.82533540886817</v>
      </c>
      <c r="E42" s="49">
        <v>19962165</v>
      </c>
      <c r="F42" s="51">
        <v>45650063.654064506</v>
      </c>
      <c r="G42" s="52">
        <f t="shared" ref="G42:G53" si="21">IF(F42&lt;&gt;"",F42/112500*100,"")</f>
        <v>40577.834359168453</v>
      </c>
      <c r="H42" s="52">
        <f xml:space="preserve"> 708114000/1000</f>
        <v>708114</v>
      </c>
      <c r="I42" s="52">
        <f t="shared" si="5"/>
        <v>580484.91841965984</v>
      </c>
      <c r="J42" s="52">
        <f t="shared" si="19"/>
        <v>2.4643996304698126E-3</v>
      </c>
      <c r="K42" s="52">
        <f t="shared" si="20"/>
        <v>4.9257000775010651</v>
      </c>
      <c r="N42">
        <v>7864.1256999999996</v>
      </c>
    </row>
    <row r="43" spans="1:14" ht="15" customHeight="1">
      <c r="A43" s="53" t="s">
        <v>102</v>
      </c>
      <c r="B43" s="54">
        <v>24800</v>
      </c>
      <c r="C43" s="63">
        <v>8052.9926999999998</v>
      </c>
      <c r="D43" s="55">
        <f t="shared" si="18"/>
        <v>307.9600457107083</v>
      </c>
      <c r="E43" s="54">
        <v>20153623</v>
      </c>
      <c r="F43" s="51">
        <v>45340769.867178559</v>
      </c>
      <c r="G43" s="56">
        <f t="shared" si="21"/>
        <v>40302.906548603161</v>
      </c>
      <c r="H43" s="52">
        <f t="shared" ref="H43:H44" si="22" xml:space="preserve"> 708114000/1000</f>
        <v>708114</v>
      </c>
      <c r="I43" s="52">
        <f t="shared" si="5"/>
        <v>563030.06293770217</v>
      </c>
      <c r="J43" s="56">
        <f t="shared" si="19"/>
        <v>2.4812106263205932E-3</v>
      </c>
      <c r="K43" s="56">
        <f t="shared" si="20"/>
        <v>-0.67753199476296611</v>
      </c>
      <c r="N43">
        <v>8052.9926999999998</v>
      </c>
    </row>
    <row r="44" spans="1:14" ht="15" customHeight="1">
      <c r="A44" s="48" t="s">
        <v>103</v>
      </c>
      <c r="B44" s="49">
        <v>26000</v>
      </c>
      <c r="C44" s="63">
        <v>8353.3158000000003</v>
      </c>
      <c r="D44" s="50">
        <f t="shared" si="18"/>
        <v>311.25364612696671</v>
      </c>
      <c r="E44" s="49">
        <v>20769572</v>
      </c>
      <c r="F44" s="51">
        <v>47073040.735129029</v>
      </c>
      <c r="G44" s="52">
        <f t="shared" si="21"/>
        <v>41842.702875670249</v>
      </c>
      <c r="H44" s="52">
        <f t="shared" si="22"/>
        <v>708114</v>
      </c>
      <c r="I44" s="52">
        <f t="shared" si="5"/>
        <v>563525.21396508231</v>
      </c>
      <c r="J44" s="52">
        <f t="shared" si="19"/>
        <v>2.3899029729780134E-3</v>
      </c>
      <c r="K44" s="52">
        <f t="shared" si="20"/>
        <v>3.8205590090882682</v>
      </c>
      <c r="N44">
        <v>8353.3158000000003</v>
      </c>
    </row>
    <row r="45" spans="1:14" ht="15" customHeight="1">
      <c r="A45" s="53" t="s">
        <v>104</v>
      </c>
      <c r="B45" s="54">
        <v>33067</v>
      </c>
      <c r="C45" s="63">
        <v>8585.6077999999998</v>
      </c>
      <c r="D45" s="55">
        <f t="shared" si="18"/>
        <v>385.14454387259576</v>
      </c>
      <c r="E45" s="54">
        <v>21721282</v>
      </c>
      <c r="F45" s="51">
        <v>47862949.081666663</v>
      </c>
      <c r="G45" s="56">
        <f t="shared" si="21"/>
        <v>42544.843628148148</v>
      </c>
      <c r="H45" s="56">
        <f xml:space="preserve"> 776529000/1000</f>
        <v>776529</v>
      </c>
      <c r="I45" s="52">
        <f t="shared" si="5"/>
        <v>557478.86692036723</v>
      </c>
      <c r="J45" s="56">
        <f t="shared" si="19"/>
        <v>2.3504611010919047E-3</v>
      </c>
      <c r="K45" s="56">
        <f t="shared" si="20"/>
        <v>1.6780482717959468</v>
      </c>
      <c r="N45">
        <v>8585.6077999999998</v>
      </c>
    </row>
    <row r="46" spans="1:14" ht="15" customHeight="1">
      <c r="A46" s="48" t="s">
        <v>105</v>
      </c>
      <c r="B46" s="49">
        <v>34391</v>
      </c>
      <c r="C46" s="63">
        <v>8714.4871000000003</v>
      </c>
      <c r="D46" s="50">
        <f t="shared" si="18"/>
        <v>394.64169956714954</v>
      </c>
      <c r="E46" s="49">
        <v>21619257</v>
      </c>
      <c r="F46" s="51">
        <v>48233026.964064524</v>
      </c>
      <c r="G46" s="52">
        <f t="shared" si="21"/>
        <v>42873.801745835131</v>
      </c>
      <c r="H46" s="56">
        <f t="shared" ref="H46:H47" si="23" xml:space="preserve"> 776529000/1000</f>
        <v>776529</v>
      </c>
      <c r="I46" s="52">
        <f t="shared" si="5"/>
        <v>553480.96119236352</v>
      </c>
      <c r="J46" s="52">
        <f t="shared" si="19"/>
        <v>2.3324267018078062E-3</v>
      </c>
      <c r="K46" s="52">
        <f t="shared" si="20"/>
        <v>0.77320325951167568</v>
      </c>
      <c r="N46">
        <v>8714.4871000000003</v>
      </c>
    </row>
    <row r="47" spans="1:14" ht="15" customHeight="1">
      <c r="A47" s="53" t="s">
        <v>106</v>
      </c>
      <c r="B47" s="54">
        <v>35978</v>
      </c>
      <c r="C47" s="63">
        <v>8855.5681000000004</v>
      </c>
      <c r="D47" s="55">
        <f t="shared" si="18"/>
        <v>406.27545961732255</v>
      </c>
      <c r="E47" s="54">
        <v>22203206</v>
      </c>
      <c r="F47" s="51">
        <v>50512401.163000003</v>
      </c>
      <c r="G47" s="56">
        <f t="shared" si="21"/>
        <v>44899.912144888891</v>
      </c>
      <c r="H47" s="56">
        <f t="shared" si="23"/>
        <v>776529</v>
      </c>
      <c r="I47" s="52">
        <f t="shared" si="5"/>
        <v>570402.71829652577</v>
      </c>
      <c r="J47" s="56">
        <f t="shared" si="19"/>
        <v>2.2271758500842266E-3</v>
      </c>
      <c r="K47" s="56">
        <f t="shared" si="20"/>
        <v>4.7257539955634575</v>
      </c>
      <c r="N47">
        <v>8855.5681000000004</v>
      </c>
    </row>
    <row r="48" spans="1:14" ht="15" customHeight="1">
      <c r="A48" s="48" t="s">
        <v>107</v>
      </c>
      <c r="B48" s="49">
        <v>37741</v>
      </c>
      <c r="C48" s="63">
        <v>9023.973</v>
      </c>
      <c r="D48" s="50">
        <f t="shared" si="18"/>
        <v>418.23041802097595</v>
      </c>
      <c r="E48" s="49">
        <v>23807904</v>
      </c>
      <c r="F48" s="51">
        <v>54094657.867064521</v>
      </c>
      <c r="G48" s="52">
        <f t="shared" si="21"/>
        <v>48084.140326279572</v>
      </c>
      <c r="H48" s="52">
        <f>737868000/1000</f>
        <v>737868</v>
      </c>
      <c r="I48" s="52">
        <f t="shared" si="5"/>
        <v>599455.00576148136</v>
      </c>
      <c r="J48" s="52">
        <f t="shared" si="19"/>
        <v>2.0796877997909572E-3</v>
      </c>
      <c r="K48" s="52">
        <f t="shared" si="20"/>
        <v>7.0918361067509439</v>
      </c>
      <c r="N48">
        <v>9023.973</v>
      </c>
    </row>
    <row r="49" spans="1:16" ht="15" customHeight="1">
      <c r="A49" s="53" t="s">
        <v>108</v>
      </c>
      <c r="B49" s="54">
        <v>43590</v>
      </c>
      <c r="C49" s="63">
        <v>9193.2440999999999</v>
      </c>
      <c r="D49" s="55">
        <f t="shared" si="18"/>
        <v>474.15253555597417</v>
      </c>
      <c r="E49" s="54">
        <v>23963100</v>
      </c>
      <c r="F49" s="51">
        <v>52844841.73993548</v>
      </c>
      <c r="G49" s="56">
        <f t="shared" si="21"/>
        <v>46973.192657720429</v>
      </c>
      <c r="H49" s="52">
        <f t="shared" ref="H49:H50" si="24">737868000/1000</f>
        <v>737868</v>
      </c>
      <c r="I49" s="52">
        <f t="shared" si="5"/>
        <v>574822.56714945135</v>
      </c>
      <c r="J49" s="56">
        <f t="shared" si="19"/>
        <v>2.1288738180661898E-3</v>
      </c>
      <c r="K49" s="56">
        <f t="shared" si="20"/>
        <v>-2.3104243125086663</v>
      </c>
      <c r="N49">
        <v>9193.2440999999999</v>
      </c>
    </row>
    <row r="50" spans="1:16" ht="15" customHeight="1">
      <c r="A50" s="48" t="s">
        <v>109</v>
      </c>
      <c r="B50" s="49">
        <v>41529</v>
      </c>
      <c r="C50" s="63">
        <v>9384.0921999999991</v>
      </c>
      <c r="D50" s="50">
        <f t="shared" si="18"/>
        <v>442.54680276905214</v>
      </c>
      <c r="E50" s="49">
        <v>23590052</v>
      </c>
      <c r="F50" s="51">
        <v>51750593.869999997</v>
      </c>
      <c r="G50" s="52">
        <f t="shared" si="21"/>
        <v>46000.52788444444</v>
      </c>
      <c r="H50" s="52">
        <f t="shared" si="24"/>
        <v>737868</v>
      </c>
      <c r="I50" s="52">
        <f t="shared" si="5"/>
        <v>551471.4984364711</v>
      </c>
      <c r="J50" s="52">
        <f t="shared" si="19"/>
        <v>2.1738880964845635E-3</v>
      </c>
      <c r="K50" s="52">
        <f t="shared" si="20"/>
        <v>-2.0706805695825303</v>
      </c>
      <c r="N50">
        <v>9384.0921999999991</v>
      </c>
      <c r="O50">
        <f>737868*1006%</f>
        <v>7422952.0800000001</v>
      </c>
      <c r="P50" t="s">
        <v>213</v>
      </c>
    </row>
    <row r="51" spans="1:16" ht="15" customHeight="1">
      <c r="A51" s="53" t="s">
        <v>110</v>
      </c>
      <c r="B51" s="54">
        <v>40476</v>
      </c>
      <c r="C51" s="63">
        <v>9603.8623000000007</v>
      </c>
      <c r="D51" s="55">
        <f t="shared" si="18"/>
        <v>421.45543881860942</v>
      </c>
      <c r="E51" s="54">
        <v>23879489</v>
      </c>
      <c r="F51" s="51">
        <v>52628841.718419343</v>
      </c>
      <c r="G51" s="56">
        <f t="shared" si="21"/>
        <v>46781.19263859497</v>
      </c>
      <c r="H51">
        <f>737868*1006%</f>
        <v>7422952.0800000001</v>
      </c>
      <c r="I51" s="52">
        <f t="shared" si="5"/>
        <v>547996.6296311781</v>
      </c>
      <c r="J51" s="56">
        <f t="shared" si="19"/>
        <v>2.1376111714924294E-3</v>
      </c>
      <c r="K51" s="56">
        <f t="shared" si="20"/>
        <v>1.6970778163928846</v>
      </c>
      <c r="N51">
        <v>9603.8623000000007</v>
      </c>
    </row>
    <row r="52" spans="1:16" ht="15" customHeight="1">
      <c r="A52" s="48" t="s">
        <v>111</v>
      </c>
      <c r="B52" s="49">
        <v>40850</v>
      </c>
      <c r="C52" s="63">
        <v>9841.3580999999995</v>
      </c>
      <c r="D52" s="50">
        <f t="shared" si="18"/>
        <v>415.08498710152617</v>
      </c>
      <c r="E52" s="49">
        <v>23481106</v>
      </c>
      <c r="F52" s="51">
        <v>52173440.408666678</v>
      </c>
      <c r="G52" s="52">
        <f t="shared" si="21"/>
        <v>46376.391474370379</v>
      </c>
      <c r="H52">
        <f t="shared" ref="H52:H53" si="25">737868*1006%</f>
        <v>7422952.0800000001</v>
      </c>
      <c r="I52" s="52">
        <f t="shared" si="5"/>
        <v>530144.72066275775</v>
      </c>
      <c r="J52" s="52">
        <f t="shared" si="19"/>
        <v>2.1562695332875215E-3</v>
      </c>
      <c r="K52" s="52">
        <f t="shared" si="20"/>
        <v>-0.86530749087962833</v>
      </c>
      <c r="N52">
        <v>9841.3580999999995</v>
      </c>
    </row>
    <row r="53" spans="1:16" ht="15" customHeight="1">
      <c r="A53" s="53" t="s">
        <v>112</v>
      </c>
      <c r="B53" s="54">
        <v>40850</v>
      </c>
      <c r="C53" s="63">
        <v>10121.371499999999</v>
      </c>
      <c r="D53" s="55">
        <f t="shared" si="18"/>
        <v>403.6014289170198</v>
      </c>
      <c r="E53" s="54">
        <v>24703984</v>
      </c>
      <c r="F53" s="51">
        <v>58090360.459483869</v>
      </c>
      <c r="G53" s="56">
        <f t="shared" si="21"/>
        <v>51635.875963985665</v>
      </c>
      <c r="H53">
        <f t="shared" si="25"/>
        <v>7422952.0800000001</v>
      </c>
      <c r="I53" s="52">
        <f t="shared" si="5"/>
        <v>573937.63739908044</v>
      </c>
      <c r="J53" s="56">
        <f t="shared" si="19"/>
        <v>1.9366380086153032E-3</v>
      </c>
      <c r="K53" s="56">
        <f t="shared" si="20"/>
        <v>11.340866165755701</v>
      </c>
      <c r="N53">
        <v>10121.371499999999</v>
      </c>
    </row>
    <row r="54" spans="1:16" ht="15" customHeight="1">
      <c r="A54" s="48" t="s">
        <v>113</v>
      </c>
      <c r="B54" s="49">
        <v>43281</v>
      </c>
      <c r="C54" s="63">
        <v>10413.0309</v>
      </c>
      <c r="D54" s="50">
        <f t="shared" si="18"/>
        <v>415.64267325856105</v>
      </c>
      <c r="E54" s="49">
        <v>26581713</v>
      </c>
      <c r="F54" s="51">
        <v>58407334.130516127</v>
      </c>
      <c r="G54" s="52">
        <f>IF(F54&lt;&gt;"",F54/154166.67*100,"")</f>
        <v>37885.837535776132</v>
      </c>
      <c r="H54" s="58">
        <f>H51*1.001</f>
        <v>7430375.0320799993</v>
      </c>
      <c r="I54" s="52">
        <f t="shared" si="5"/>
        <v>560906.18275718484</v>
      </c>
      <c r="J54" s="52">
        <f t="shared" si="19"/>
        <v>2.6395087585319604E-3</v>
      </c>
      <c r="K54" s="52">
        <f t="shared" si="20"/>
        <v>0.54565623026790511</v>
      </c>
      <c r="N54">
        <v>10413.0309</v>
      </c>
      <c r="O54">
        <f>O50*1.001</f>
        <v>7430375.0320799993</v>
      </c>
    </row>
    <row r="55" spans="1:16" ht="15" customHeight="1">
      <c r="A55" s="53" t="s">
        <v>114</v>
      </c>
      <c r="B55" s="54">
        <v>41874</v>
      </c>
      <c r="C55" s="63">
        <v>10714.6255</v>
      </c>
      <c r="D55" s="55">
        <f t="shared" si="18"/>
        <v>390.81160606126645</v>
      </c>
      <c r="E55" s="54">
        <v>25821466</v>
      </c>
      <c r="F55" s="51">
        <v>56940249.279321417</v>
      </c>
      <c r="G55" s="56">
        <f>IF(F55&lt;&gt;"",F55/154166.67*100,"")</f>
        <v>36934.214950171408</v>
      </c>
      <c r="H55" s="58">
        <f>H51*1.001</f>
        <v>7430375.0320799993</v>
      </c>
      <c r="I55" s="52">
        <f t="shared" si="5"/>
        <v>531425.47333382221</v>
      </c>
      <c r="J55" s="56">
        <f t="shared" si="19"/>
        <v>2.707516597683523E-3</v>
      </c>
      <c r="K55" s="56">
        <f t="shared" si="20"/>
        <v>-2.5118161495205111</v>
      </c>
      <c r="N55">
        <v>10714.6255</v>
      </c>
    </row>
    <row r="56" spans="1:16">
      <c r="A56" s="59">
        <v>46082</v>
      </c>
      <c r="B56" s="58"/>
      <c r="C56" s="66">
        <v>10920.3</v>
      </c>
      <c r="D56" s="58"/>
      <c r="E56" s="60">
        <v>25459837</v>
      </c>
      <c r="F56" s="65">
        <v>59100640</v>
      </c>
      <c r="G56" s="58"/>
      <c r="H56" s="58">
        <f>H52*1.001</f>
        <v>7430375.0320799993</v>
      </c>
      <c r="I56" s="67">
        <f t="shared" si="5"/>
        <v>541199.78388872102</v>
      </c>
      <c r="J56" s="58"/>
      <c r="K56" s="58"/>
    </row>
    <row r="57" spans="1:16">
      <c r="H57">
        <v>7430375.0319999997</v>
      </c>
    </row>
    <row r="61" spans="1:16" ht="18" customHeight="1">
      <c r="A61" s="79" t="s">
        <v>115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</row>
    <row r="62" spans="1:16">
      <c r="A62" s="80" t="s">
        <v>116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</row>
  </sheetData>
  <mergeCells count="7">
    <mergeCell ref="A61:K61"/>
    <mergeCell ref="A62:K62"/>
    <mergeCell ref="A1:K1"/>
    <mergeCell ref="A2:K2"/>
    <mergeCell ref="B4:D4"/>
    <mergeCell ref="E4:F4"/>
    <mergeCell ref="G4:K4"/>
  </mergeCells>
  <conditionalFormatting sqref="F6:F55">
    <cfRule type="cellIs" dxfId="3" priority="1" operator="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5B6"/>
  </sheetPr>
  <dimension ref="A1:M63"/>
  <sheetViews>
    <sheetView showGridLines="0" zoomScaleNormal="100" workbookViewId="0">
      <pane xSplit="1" ySplit="6" topLeftCell="B65" activePane="bottomRight" state="frozen"/>
      <selection pane="topRight" activeCell="B1" sqref="B1"/>
      <selection pane="bottomLeft" activeCell="A7" sqref="A7"/>
      <selection pane="bottomRight" activeCell="F7" sqref="F7"/>
    </sheetView>
  </sheetViews>
  <sheetFormatPr baseColWidth="10" defaultColWidth="8.6640625" defaultRowHeight="15"/>
  <cols>
    <col min="1" max="1" width="19.83203125" style="73" customWidth="1"/>
    <col min="2" max="5" width="16" customWidth="1"/>
    <col min="6" max="8" width="18" customWidth="1"/>
    <col min="9" max="9" width="22" customWidth="1"/>
    <col min="10" max="10" width="19.83203125" customWidth="1"/>
    <col min="11" max="11" width="13.33203125" customWidth="1"/>
  </cols>
  <sheetData>
    <row r="1" spans="1:12" ht="39.75" customHeight="1">
      <c r="A1" s="74" t="s">
        <v>117</v>
      </c>
      <c r="B1" s="74"/>
      <c r="C1" s="74"/>
      <c r="D1" s="74"/>
      <c r="E1" s="74"/>
      <c r="F1" s="74"/>
      <c r="G1" s="74"/>
      <c r="H1" s="74"/>
      <c r="I1" s="74"/>
    </row>
    <row r="2" spans="1:12" ht="15" customHeight="1">
      <c r="A2" s="75" t="s">
        <v>118</v>
      </c>
      <c r="B2" s="75"/>
      <c r="C2" s="75"/>
      <c r="D2" s="75"/>
      <c r="E2" s="75"/>
      <c r="F2" s="75"/>
      <c r="G2" s="75"/>
      <c r="H2" s="75"/>
      <c r="I2" s="75"/>
    </row>
    <row r="4" spans="1:12" ht="15" customHeight="1">
      <c r="A4" s="76" t="s">
        <v>119</v>
      </c>
      <c r="B4" s="76"/>
      <c r="C4" s="76"/>
      <c r="D4" s="76"/>
      <c r="E4" s="76"/>
      <c r="F4" s="76"/>
      <c r="G4" s="76"/>
      <c r="H4" s="76"/>
      <c r="I4" s="76"/>
    </row>
    <row r="5" spans="1:12" ht="34.5" customHeight="1">
      <c r="A5" s="69" t="s">
        <v>56</v>
      </c>
      <c r="B5" s="16" t="s">
        <v>120</v>
      </c>
      <c r="C5" s="16" t="s">
        <v>121</v>
      </c>
      <c r="D5" s="16" t="s">
        <v>122</v>
      </c>
      <c r="E5" s="16" t="s">
        <v>123</v>
      </c>
      <c r="F5" s="16" t="s">
        <v>124</v>
      </c>
      <c r="G5" s="16" t="s">
        <v>125</v>
      </c>
      <c r="H5" s="16" t="s">
        <v>126</v>
      </c>
      <c r="I5" s="16" t="s">
        <v>63</v>
      </c>
      <c r="J5" s="85" t="s">
        <v>214</v>
      </c>
      <c r="K5" s="46" t="s">
        <v>61</v>
      </c>
      <c r="L5" s="44" t="s">
        <v>212</v>
      </c>
    </row>
    <row r="6" spans="1:12" ht="15" customHeight="1">
      <c r="A6" s="86" t="s">
        <v>218</v>
      </c>
      <c r="B6" s="87"/>
      <c r="C6" s="87"/>
      <c r="D6" s="87">
        <v>80000</v>
      </c>
      <c r="E6" s="87">
        <f>D6/F6*100</f>
        <v>925.65808504483653</v>
      </c>
      <c r="F6" s="87">
        <v>8642.5</v>
      </c>
      <c r="G6" s="87">
        <v>66666.666666666701</v>
      </c>
      <c r="H6" s="87">
        <f>D6/G6*100</f>
        <v>119.99999999999993</v>
      </c>
      <c r="I6" s="87" t="s">
        <v>65</v>
      </c>
      <c r="J6" s="58"/>
      <c r="L6" s="58"/>
    </row>
    <row r="7" spans="1:12" ht="15" customHeight="1">
      <c r="A7" s="68">
        <v>44562</v>
      </c>
      <c r="B7" s="88">
        <v>3.88</v>
      </c>
      <c r="C7" s="89">
        <v>-0.8</v>
      </c>
      <c r="D7" s="90">
        <f>D6*(1+B7/100)*(1+Supuestos!B17*C7/100)*(1+Supuestos!B20)</f>
        <v>81735.110912000004</v>
      </c>
      <c r="E7" s="55">
        <f>D7/F7*100</f>
        <v>910.41064506797818</v>
      </c>
      <c r="F7" s="55">
        <f>F6*(1+B7/100)</f>
        <v>8977.8289999999997</v>
      </c>
      <c r="G7" s="54">
        <v>112500</v>
      </c>
      <c r="H7" s="56">
        <f>D7/G7*100</f>
        <v>72.653431921777781</v>
      </c>
      <c r="I7" s="56">
        <f>(D7-D6)/D6*100</f>
        <v>2.1688886400000049</v>
      </c>
      <c r="J7" s="52">
        <f>K7*(100/B7)</f>
        <v>150079893.07199866</v>
      </c>
      <c r="K7" s="51">
        <v>5823099.8511935482</v>
      </c>
      <c r="L7" s="52">
        <f>691652000/1000</f>
        <v>691652</v>
      </c>
    </row>
    <row r="8" spans="1:12" ht="15" customHeight="1">
      <c r="A8" s="91">
        <v>44593</v>
      </c>
      <c r="B8" s="92">
        <v>4.6900000000000004</v>
      </c>
      <c r="C8" s="89">
        <v>1.4</v>
      </c>
      <c r="D8" s="93">
        <f>D7*(1+B8/100)*(1+Supuestos!B17*C8/100)*(1+Supuestos!B20)</f>
        <v>83328.818018969905</v>
      </c>
      <c r="E8" s="50">
        <f>D8/F8*100</f>
        <v>886.58155684396877</v>
      </c>
      <c r="F8" s="50">
        <f>F7*(1+B8/100)</f>
        <v>9398.8891800999991</v>
      </c>
      <c r="G8" s="49">
        <v>112500</v>
      </c>
      <c r="H8" s="52">
        <f>D8/G8*100</f>
        <v>74.070060461306582</v>
      </c>
      <c r="I8" s="52">
        <f>(D8-D7)/D7*100</f>
        <v>1.9498439399999883</v>
      </c>
      <c r="J8" s="52">
        <f>K8*(100/B8)</f>
        <v>123358660.72418517</v>
      </c>
      <c r="K8" s="51">
        <v>5785521.1879642848</v>
      </c>
      <c r="L8" s="52">
        <f t="shared" ref="L8:L9" si="0">691652000/1000</f>
        <v>691652</v>
      </c>
    </row>
    <row r="9" spans="1:12" ht="15" customHeight="1">
      <c r="A9" s="68">
        <v>44621</v>
      </c>
      <c r="B9" s="88">
        <v>6.73</v>
      </c>
      <c r="C9" s="89">
        <v>-0.6</v>
      </c>
      <c r="D9" s="90">
        <f>D8*(1+B9/100)*(1+Supuestos!B17*C9/100)*(1+Supuestos!B20)</f>
        <v>87393.43742062361</v>
      </c>
      <c r="E9" s="55">
        <f>D9/F9*100</f>
        <v>871.19582050649842</v>
      </c>
      <c r="F9" s="55">
        <f>F8*(1+B9/100)</f>
        <v>10031.434421920729</v>
      </c>
      <c r="G9" s="54">
        <v>112500</v>
      </c>
      <c r="H9" s="56">
        <f>D9/G9*100</f>
        <v>77.683055484998761</v>
      </c>
      <c r="I9" s="56">
        <f>(D9-D8)/D8*100</f>
        <v>4.877807579999982</v>
      </c>
      <c r="J9" s="52">
        <f t="shared" ref="J8:J57" si="1">K9*(100/B9)</f>
        <v>85407658.170445278</v>
      </c>
      <c r="K9" s="51">
        <v>5747935.3948709676</v>
      </c>
      <c r="L9" s="52">
        <f t="shared" si="0"/>
        <v>691652</v>
      </c>
    </row>
    <row r="10" spans="1:12" ht="15" customHeight="1">
      <c r="A10" s="91">
        <v>44652</v>
      </c>
      <c r="B10" s="92">
        <v>6.05</v>
      </c>
      <c r="C10" s="89">
        <v>0.6</v>
      </c>
      <c r="D10" s="93">
        <f>D9*(1+B10/100)*(1+Supuestos!B17*C10/100)*(1+Supuestos!B20)</f>
        <v>90581.892337822326</v>
      </c>
      <c r="E10" s="50">
        <f>D10/F10*100</f>
        <v>851.46671995530824</v>
      </c>
      <c r="F10" s="50">
        <f>F9*(1+B10/100)</f>
        <v>10638.336204446932</v>
      </c>
      <c r="G10" s="49">
        <v>112500</v>
      </c>
      <c r="H10" s="52">
        <f>D10/G10*100</f>
        <v>80.517237633619843</v>
      </c>
      <c r="I10" s="52">
        <f>(D10-D9)/D9*100</f>
        <v>3.6483916999999892</v>
      </c>
      <c r="J10" s="52">
        <f t="shared" si="1"/>
        <v>96793670.734986246</v>
      </c>
      <c r="K10" s="51">
        <v>5856017.079466667</v>
      </c>
      <c r="L10" s="56">
        <f>770220000/1000</f>
        <v>770220</v>
      </c>
    </row>
    <row r="11" spans="1:12" ht="15" customHeight="1">
      <c r="A11" s="68">
        <v>44682</v>
      </c>
      <c r="B11" s="88">
        <v>5.05</v>
      </c>
      <c r="C11" s="89">
        <v>0</v>
      </c>
      <c r="D11" s="90">
        <f>D10*(1+B11/100)*(1+Supuestos!B17*C11/100)*(1+Supuestos!B20)</f>
        <v>93253.152342864705</v>
      </c>
      <c r="E11" s="55">
        <f>D11/F11*100</f>
        <v>834.437385556202</v>
      </c>
      <c r="F11" s="55">
        <f>F10*(1+B11/100)</f>
        <v>11175.572182771502</v>
      </c>
      <c r="G11" s="54">
        <v>112500</v>
      </c>
      <c r="H11" s="56">
        <f>D11/G11*100</f>
        <v>82.891690971435295</v>
      </c>
      <c r="I11" s="56">
        <f>(D11-D10)/D10*100</f>
        <v>2.9489999999999985</v>
      </c>
      <c r="J11" s="52">
        <f t="shared" si="1"/>
        <v>119754439.29862663</v>
      </c>
      <c r="K11" s="51">
        <v>6047599.1845806446</v>
      </c>
      <c r="L11" s="56">
        <f t="shared" ref="L11:L12" si="2">770220000/1000</f>
        <v>770220</v>
      </c>
    </row>
    <row r="12" spans="1:12" ht="15" customHeight="1">
      <c r="A12" s="91">
        <v>44713</v>
      </c>
      <c r="B12" s="92">
        <v>5.3</v>
      </c>
      <c r="C12" s="89">
        <v>1.2</v>
      </c>
      <c r="D12" s="93">
        <f>D11*(1+B12/100)*(1+Supuestos!B17*C12/100)*(1+Supuestos!B20)</f>
        <v>95712.007075340851</v>
      </c>
      <c r="E12" s="50">
        <f>D12/F12*100</f>
        <v>813.3327952007146</v>
      </c>
      <c r="F12" s="50">
        <f>F11*(1+B12/100)</f>
        <v>11767.877508458392</v>
      </c>
      <c r="G12" s="49">
        <v>112500</v>
      </c>
      <c r="H12" s="52">
        <f>D12/G12*100</f>
        <v>85.077339622525201</v>
      </c>
      <c r="I12" s="52">
        <f>(D12-D11)/D11*100</f>
        <v>2.6367524000000047</v>
      </c>
      <c r="J12" s="52">
        <f t="shared" si="1"/>
        <v>122613133.90754719</v>
      </c>
      <c r="K12" s="51">
        <v>6498496.0971000008</v>
      </c>
      <c r="L12" s="56">
        <f t="shared" si="2"/>
        <v>770220</v>
      </c>
    </row>
    <row r="13" spans="1:12" ht="15" customHeight="1">
      <c r="A13" s="68">
        <v>44743</v>
      </c>
      <c r="B13" s="88">
        <v>7.41</v>
      </c>
      <c r="C13" s="89">
        <v>0</v>
      </c>
      <c r="D13" s="90">
        <f>D12*(1+B13/100)*(1+Supuestos!B17*C13/100)*(1+Supuestos!B20)</f>
        <v>100748.18146363113</v>
      </c>
      <c r="E13" s="55">
        <f>D13/F13*100</f>
        <v>797.06613929670016</v>
      </c>
      <c r="F13" s="55">
        <f>F12*(1+B13/100)</f>
        <v>12639.87723183516</v>
      </c>
      <c r="G13" s="54">
        <v>112500</v>
      </c>
      <c r="H13" s="56">
        <f>D13/G13*100</f>
        <v>89.55393907878323</v>
      </c>
      <c r="I13" s="56">
        <f>(D13-D12)/D12*100</f>
        <v>5.2617999999999965</v>
      </c>
      <c r="J13" s="52">
        <f t="shared" si="1"/>
        <v>96239318.969570309</v>
      </c>
      <c r="K13" s="51">
        <v>7131333.5356451599</v>
      </c>
      <c r="L13" s="52">
        <f>727465000/1000</f>
        <v>727465</v>
      </c>
    </row>
    <row r="14" spans="1:12" ht="15" customHeight="1">
      <c r="A14" s="91">
        <v>44774</v>
      </c>
      <c r="B14" s="92">
        <v>6.97</v>
      </c>
      <c r="C14" s="94">
        <v>0.5</v>
      </c>
      <c r="D14" s="93">
        <f>D13*(1+B14/100)*(1+Supuestos!B17*C14/100)*(1+Supuestos!B20)</f>
        <v>105377.28954039914</v>
      </c>
      <c r="E14" s="50">
        <f>D14/F14*100</f>
        <v>779.36728567361706</v>
      </c>
      <c r="F14" s="50">
        <f>F13*(1+B14/100)</f>
        <v>13520.876674894072</v>
      </c>
      <c r="G14" s="49">
        <v>112500</v>
      </c>
      <c r="H14" s="52">
        <f>D14/G14*100</f>
        <v>93.668701813688131</v>
      </c>
      <c r="I14" s="52">
        <f>(D14-D13)/D13*100</f>
        <v>4.5947311500000243</v>
      </c>
      <c r="J14" s="52">
        <f t="shared" si="1"/>
        <v>100391645.99666771</v>
      </c>
      <c r="K14" s="51">
        <v>6997297.7259677397</v>
      </c>
      <c r="L14" s="52">
        <f t="shared" ref="L14:L15" si="3">727465000/1000</f>
        <v>727465</v>
      </c>
    </row>
    <row r="15" spans="1:12" ht="15" customHeight="1">
      <c r="A15" s="68">
        <v>44805</v>
      </c>
      <c r="B15" s="88">
        <v>6.17</v>
      </c>
      <c r="C15" s="95">
        <v>-0.1</v>
      </c>
      <c r="D15" s="90">
        <f>D14*(1+B15/100)*(1+Supuestos!B17*C15/100)*(1+Supuestos!B20)</f>
        <v>109690.82560806347</v>
      </c>
      <c r="E15" s="55">
        <f>D15/F15*100</f>
        <v>764.12364093312681</v>
      </c>
      <c r="F15" s="55">
        <f>F14*(1+B15/100)</f>
        <v>14355.114765735038</v>
      </c>
      <c r="G15" s="54">
        <v>112500</v>
      </c>
      <c r="H15" s="56">
        <f>D15/G15*100</f>
        <v>97.502956096056423</v>
      </c>
      <c r="I15" s="56">
        <f>(D15-D14)/D14*100</f>
        <v>4.0934209700000164</v>
      </c>
      <c r="J15" s="52">
        <f t="shared" si="1"/>
        <v>114793294.61210155</v>
      </c>
      <c r="K15" s="51">
        <v>7082746.2775666667</v>
      </c>
      <c r="L15" s="52">
        <f t="shared" si="3"/>
        <v>727465</v>
      </c>
    </row>
    <row r="16" spans="1:12" ht="15" customHeight="1">
      <c r="A16" s="91">
        <v>44835</v>
      </c>
      <c r="B16" s="92">
        <v>6.35</v>
      </c>
      <c r="C16" s="94">
        <v>-1</v>
      </c>
      <c r="D16" s="93">
        <f>D15*(1+B16/100)*(1+Supuestos!B17*C16/100)*(1+Supuestos!B20)</f>
        <v>114837.52298477269</v>
      </c>
      <c r="E16" s="50">
        <f>D16/F16*100</f>
        <v>752.21095337097927</v>
      </c>
      <c r="F16" s="50">
        <f>F15*(1+B16/100)</f>
        <v>15266.664553359211</v>
      </c>
      <c r="G16" s="49">
        <v>112500</v>
      </c>
      <c r="H16" s="52">
        <f>D16/G16*100</f>
        <v>102.07779820868683</v>
      </c>
      <c r="I16" s="52">
        <f>(D16-D15)/D15*100</f>
        <v>4.6920034999999807</v>
      </c>
      <c r="J16" s="52">
        <f t="shared" si="1"/>
        <v>115173343.68554738</v>
      </c>
      <c r="K16" s="51">
        <v>7313507.3240322582</v>
      </c>
      <c r="L16" s="56">
        <f>711199000/1000</f>
        <v>711199</v>
      </c>
    </row>
    <row r="17" spans="1:12" ht="15" customHeight="1">
      <c r="A17" s="68">
        <v>44866</v>
      </c>
      <c r="B17" s="88">
        <v>4.92</v>
      </c>
      <c r="C17" s="95">
        <v>-0.7</v>
      </c>
      <c r="D17" s="90">
        <f>D16*(1+B17/100)*(1+Supuestos!B17*C17/100)*(1+Supuestos!B20)</f>
        <v>118449.72353569094</v>
      </c>
      <c r="E17" s="55">
        <f>D17/F17*100</f>
        <v>739.4888095166159</v>
      </c>
      <c r="F17" s="55">
        <f>F16*(1+B17/100)</f>
        <v>16017.784449384482</v>
      </c>
      <c r="G17" s="54">
        <v>112500</v>
      </c>
      <c r="H17" s="56">
        <f>D17/G17*100</f>
        <v>105.28864314283639</v>
      </c>
      <c r="I17" s="56">
        <f>(D17-D16)/D16*100</f>
        <v>3.1454880399999765</v>
      </c>
      <c r="J17" s="52">
        <f t="shared" si="1"/>
        <v>154317384.77574524</v>
      </c>
      <c r="K17" s="51">
        <v>7592415.3309666663</v>
      </c>
      <c r="L17" s="56">
        <f t="shared" ref="L17:L18" si="4">711199000/1000</f>
        <v>711199</v>
      </c>
    </row>
    <row r="18" spans="1:12" ht="15" customHeight="1">
      <c r="A18" s="91">
        <v>44896</v>
      </c>
      <c r="B18" s="92">
        <v>5.12</v>
      </c>
      <c r="C18" s="94">
        <v>-1</v>
      </c>
      <c r="D18" s="93">
        <f>D17*(1+B18/100)*(1+Supuestos!B17*C18/100)*(1+Supuestos!B20)</f>
        <v>122573.1706738729</v>
      </c>
      <c r="E18" s="50">
        <f>D18/F18*100</f>
        <v>727.96017897625177</v>
      </c>
      <c r="F18" s="50">
        <f>F17*(1+B18/100)</f>
        <v>16837.895013192967</v>
      </c>
      <c r="G18" s="49">
        <v>112500</v>
      </c>
      <c r="H18" s="52">
        <f>D18/G18*100</f>
        <v>108.95392948788702</v>
      </c>
      <c r="I18" s="52">
        <f>(D18-D17)/D17*100</f>
        <v>3.4811791999999855</v>
      </c>
      <c r="J18" s="52">
        <f t="shared" si="1"/>
        <v>170689279.40587196</v>
      </c>
      <c r="K18" s="51">
        <v>8739291.1055806447</v>
      </c>
      <c r="L18" s="56">
        <f t="shared" si="4"/>
        <v>711199</v>
      </c>
    </row>
    <row r="19" spans="1:12" ht="15" customHeight="1">
      <c r="A19" s="68">
        <v>44927</v>
      </c>
      <c r="B19" s="88">
        <v>6.03</v>
      </c>
      <c r="C19" s="89">
        <v>2.4</v>
      </c>
      <c r="D19" s="90">
        <f>D18*(1+B19/100)*(1+Supuestos!B17*C19/100)*(1+Supuestos!B20)</f>
        <v>125989.50370914875</v>
      </c>
      <c r="E19" s="55">
        <f>D19/F19*100</f>
        <v>705.69624486244197</v>
      </c>
      <c r="F19" s="55">
        <f>F18*(1+B19/100)</f>
        <v>17853.220082488504</v>
      </c>
      <c r="G19" s="54">
        <v>154166.66666666701</v>
      </c>
      <c r="H19" s="56">
        <f>D19/G19*100</f>
        <v>81.722921324853061</v>
      </c>
      <c r="I19" s="56">
        <f>(D19-D18)/D18*100</f>
        <v>2.7871784799999944</v>
      </c>
      <c r="J19" s="52">
        <f t="shared" si="1"/>
        <v>151992446.96677899</v>
      </c>
      <c r="K19" s="51">
        <v>9165144.5520967729</v>
      </c>
      <c r="L19" s="52">
        <f>701720000/1000</f>
        <v>701720</v>
      </c>
    </row>
    <row r="20" spans="1:12" ht="15" customHeight="1">
      <c r="A20" s="91">
        <v>44958</v>
      </c>
      <c r="B20" s="92">
        <v>6.63</v>
      </c>
      <c r="C20" s="89">
        <v>-0.4</v>
      </c>
      <c r="D20" s="93">
        <f>D19*(1+B20/100)*(1+Supuestos!B17*C20/100)*(1+Supuestos!B20)</f>
        <v>131892.73600913212</v>
      </c>
      <c r="E20" s="50">
        <f>D20/F20*100</f>
        <v>692.82716814113053</v>
      </c>
      <c r="F20" s="50">
        <f>F19*(1+B20/100)</f>
        <v>19036.888573957491</v>
      </c>
      <c r="G20" s="49">
        <v>154166.66666666701</v>
      </c>
      <c r="H20" s="52">
        <f>D20/G20*100</f>
        <v>85.552044978896319</v>
      </c>
      <c r="I20" s="52">
        <f>(D20-D19)/D19*100</f>
        <v>4.6854953199999843</v>
      </c>
      <c r="J20" s="52">
        <f t="shared" si="1"/>
        <v>138636167.29207066</v>
      </c>
      <c r="K20" s="51">
        <v>9191577.8914642856</v>
      </c>
      <c r="L20" s="52">
        <f t="shared" ref="L20:L21" si="5">701720000/1000</f>
        <v>701720</v>
      </c>
    </row>
    <row r="21" spans="1:12" ht="15" customHeight="1">
      <c r="A21" s="68">
        <v>44986</v>
      </c>
      <c r="B21" s="88">
        <v>7.68</v>
      </c>
      <c r="C21" s="89">
        <v>0.7</v>
      </c>
      <c r="D21" s="90">
        <f>D20*(1+B21/100)*(1+Supuestos!B17*C21/100)*(1+Supuestos!B20)</f>
        <v>138743.23395499919</v>
      </c>
      <c r="E21" s="55">
        <f>D21/F21*100</f>
        <v>676.83186731025614</v>
      </c>
      <c r="F21" s="55">
        <f>F20*(1+B21/100)</f>
        <v>20498.921616437427</v>
      </c>
      <c r="G21" s="54">
        <v>154166.66666666701</v>
      </c>
      <c r="H21" s="56">
        <f>D21/G21*100</f>
        <v>89.995611214053326</v>
      </c>
      <c r="I21" s="56">
        <f>(D21-D20)/D20*100</f>
        <v>5.1939918400000051</v>
      </c>
      <c r="J21" s="52">
        <f t="shared" si="1"/>
        <v>120592473.54922715</v>
      </c>
      <c r="K21" s="51">
        <v>9261501.9685806446</v>
      </c>
      <c r="L21" s="52">
        <f t="shared" si="5"/>
        <v>701720</v>
      </c>
    </row>
    <row r="22" spans="1:12" ht="15" customHeight="1">
      <c r="A22" s="91">
        <v>45017</v>
      </c>
      <c r="B22" s="92">
        <v>8.4</v>
      </c>
      <c r="C22" s="89">
        <v>-4.8</v>
      </c>
      <c r="D22" s="93">
        <f>D21*(1+B22/100)*(1+Supuestos!B17*C22/100)*(1+Supuestos!B20)</f>
        <v>150573.33008064839</v>
      </c>
      <c r="E22" s="50">
        <f>D22/F22*100</f>
        <v>677.62240693127478</v>
      </c>
      <c r="F22" s="50">
        <f>F21*(1+B22/100)</f>
        <v>22220.831032218171</v>
      </c>
      <c r="G22" s="49">
        <v>154166.66666666701</v>
      </c>
      <c r="H22" s="52">
        <f>D22/G22*100</f>
        <v>97.669187079339281</v>
      </c>
      <c r="I22" s="52">
        <f>(D22-D21)/D21*100</f>
        <v>8.5266112000000263</v>
      </c>
      <c r="J22" s="52">
        <f t="shared" si="1"/>
        <v>117746026.64523812</v>
      </c>
      <c r="K22" s="51">
        <v>9890666.2382000014</v>
      </c>
      <c r="L22" s="56">
        <f>734207000/1000</f>
        <v>734207</v>
      </c>
    </row>
    <row r="23" spans="1:12" ht="15" customHeight="1">
      <c r="A23" s="68">
        <v>45047</v>
      </c>
      <c r="B23" s="88">
        <v>7.77</v>
      </c>
      <c r="C23" s="89">
        <v>-6.6</v>
      </c>
      <c r="D23" s="90">
        <f>D22*(1+B23/100)*(1+Supuestos!B17*C23/100)*(1+Supuestos!B20)</f>
        <v>163750.53465341579</v>
      </c>
      <c r="E23" s="55">
        <f>D23/F23*100</f>
        <v>683.79283656879102</v>
      </c>
      <c r="F23" s="55">
        <f>F22*(1+B23/100)</f>
        <v>23947.389603421525</v>
      </c>
      <c r="G23" s="54">
        <v>154166.66666666701</v>
      </c>
      <c r="H23" s="56">
        <f>D23/G23*100</f>
        <v>106.21656301843163</v>
      </c>
      <c r="I23" s="56">
        <f>(D23-D22)/D22*100</f>
        <v>8.7513536200000175</v>
      </c>
      <c r="J23" s="52">
        <f t="shared" si="1"/>
        <v>134401645.94760656</v>
      </c>
      <c r="K23" s="51">
        <v>10443007.89012903</v>
      </c>
      <c r="L23" s="56">
        <f t="shared" ref="L23:L24" si="6">734207000/1000</f>
        <v>734207</v>
      </c>
    </row>
    <row r="24" spans="1:12" ht="15" customHeight="1">
      <c r="A24" s="91">
        <v>45078</v>
      </c>
      <c r="B24" s="92">
        <v>5.95</v>
      </c>
      <c r="C24" s="89">
        <v>-5.5</v>
      </c>
      <c r="D24" s="93">
        <f>D23*(1+B24/100)*(1+Supuestos!B17*C24/100)*(1+Supuestos!B20)</f>
        <v>174231.90712247888</v>
      </c>
      <c r="E24" s="50">
        <f>D24/F24*100</f>
        <v>686.70237508839125</v>
      </c>
      <c r="F24" s="50">
        <f>F23*(1+B24/100)</f>
        <v>25372.259284825108</v>
      </c>
      <c r="G24" s="49">
        <v>154166.66666666701</v>
      </c>
      <c r="H24" s="52">
        <f>D24/G24*100</f>
        <v>113.01529110647253</v>
      </c>
      <c r="I24" s="52">
        <f>(D24-D23)/D23*100</f>
        <v>6.4008172500000153</v>
      </c>
      <c r="J24" s="52">
        <f t="shared" si="1"/>
        <v>187981897.3803921</v>
      </c>
      <c r="K24" s="51">
        <v>11184922.894133329</v>
      </c>
      <c r="L24" s="56">
        <f t="shared" si="6"/>
        <v>734207</v>
      </c>
    </row>
    <row r="25" spans="1:12" ht="15" customHeight="1">
      <c r="A25" s="68">
        <v>45108</v>
      </c>
      <c r="B25" s="88">
        <v>6.34</v>
      </c>
      <c r="C25" s="89">
        <v>-1.5</v>
      </c>
      <c r="D25" s="90">
        <f>D24*(1+B25/100)*(1+Supuestos!B17*C25/100)*(1+Supuestos!B20)</f>
        <v>182798.26119273837</v>
      </c>
      <c r="E25" s="55">
        <f>D25/F25*100</f>
        <v>677.51086379783317</v>
      </c>
      <c r="F25" s="55">
        <f>F24*(1+B25/100)</f>
        <v>26980.860523483017</v>
      </c>
      <c r="G25" s="54">
        <v>154166.66666666701</v>
      </c>
      <c r="H25" s="56">
        <f>D25/G25*100</f>
        <v>118.5718450979922</v>
      </c>
      <c r="I25" s="56">
        <f>(D25-D24)/D24*100</f>
        <v>4.9166391000000056</v>
      </c>
      <c r="J25" s="52">
        <f t="shared" si="1"/>
        <v>189538132.59997967</v>
      </c>
      <c r="K25" s="51">
        <v>12016717.606838711</v>
      </c>
      <c r="L25" s="52">
        <f>721388000/1000</f>
        <v>721388</v>
      </c>
    </row>
    <row r="26" spans="1:12" ht="15" customHeight="1">
      <c r="A26" s="91">
        <v>45139</v>
      </c>
      <c r="B26" s="92">
        <v>12.44</v>
      </c>
      <c r="C26" s="89">
        <v>0.3</v>
      </c>
      <c r="D26" s="93">
        <f>D25*(1+B26/100)*(1+Supuestos!B17*C26/100)*(1+Supuestos!B20)</f>
        <v>201155.67033066973</v>
      </c>
      <c r="E26" s="50">
        <f>D26/F26*100</f>
        <v>663.06429964907204</v>
      </c>
      <c r="F26" s="50">
        <f>F25*(1+B26/100)</f>
        <v>30337.279572604308</v>
      </c>
      <c r="G26" s="49">
        <v>154166.66666666701</v>
      </c>
      <c r="H26" s="52">
        <f>D26/G26*100</f>
        <v>130.47935372800171</v>
      </c>
      <c r="I26" s="52">
        <f>(D26-D25)/D25*100</f>
        <v>10.042441880000009</v>
      </c>
      <c r="J26" s="52">
        <f t="shared" si="1"/>
        <v>101584081.17441134</v>
      </c>
      <c r="K26" s="51">
        <v>12637059.698096771</v>
      </c>
      <c r="L26" s="52">
        <f t="shared" ref="L26:L27" si="7">721388000/1000</f>
        <v>721388</v>
      </c>
    </row>
    <row r="27" spans="1:12" ht="15" customHeight="1">
      <c r="A27" s="68">
        <v>45170</v>
      </c>
      <c r="B27" s="88">
        <v>12.75</v>
      </c>
      <c r="C27" s="89">
        <v>-0.5</v>
      </c>
      <c r="D27" s="90">
        <f>D26*(1+B27/100)*(1+Supuestos!B17*C27/100)*(1+Supuestos!B20)</f>
        <v>222767.05858722024</v>
      </c>
      <c r="E27" s="55">
        <f>D27/F27*100</f>
        <v>651.26507043681681</v>
      </c>
      <c r="F27" s="55">
        <f>F26*(1+B27/100)</f>
        <v>34205.282718111353</v>
      </c>
      <c r="G27" s="54">
        <v>154166.66666666701</v>
      </c>
      <c r="H27" s="56">
        <f>D27/G27*100</f>
        <v>144.49755151603443</v>
      </c>
      <c r="I27" s="56">
        <f>(D27-D26)/D26*100</f>
        <v>10.74361375</v>
      </c>
      <c r="J27" s="52">
        <f t="shared" si="1"/>
        <v>104574701.40026142</v>
      </c>
      <c r="K27" s="51">
        <v>13333274.428533331</v>
      </c>
      <c r="L27" s="52">
        <f t="shared" si="7"/>
        <v>721388</v>
      </c>
    </row>
    <row r="28" spans="1:12" ht="15" customHeight="1">
      <c r="A28" s="91">
        <v>45200</v>
      </c>
      <c r="B28" s="92">
        <v>8.3000000000000007</v>
      </c>
      <c r="C28" s="89">
        <v>0.6</v>
      </c>
      <c r="D28" s="93">
        <f>D27*(1+B28/100)*(1+Supuestos!B17*C28/100)*(1+Supuestos!B20)</f>
        <v>235793.2246680657</v>
      </c>
      <c r="E28" s="50">
        <f>D28/F28*100</f>
        <v>636.51652165170458</v>
      </c>
      <c r="F28" s="50">
        <f>F27*(1+B28/100)</f>
        <v>37044.321183714594</v>
      </c>
      <c r="G28" s="49">
        <v>154166.66666666701</v>
      </c>
      <c r="H28" s="52">
        <f>D28/G28*100</f>
        <v>152.94695654144766</v>
      </c>
      <c r="I28" s="52">
        <f>(D28-D27)/D27*100</f>
        <v>5.8474381999999849</v>
      </c>
      <c r="J28" s="52">
        <f t="shared" si="1"/>
        <v>180638542.24251842</v>
      </c>
      <c r="K28" s="51">
        <v>14992999.00612903</v>
      </c>
      <c r="L28" s="56">
        <f>700911000/1000</f>
        <v>700911</v>
      </c>
    </row>
    <row r="29" spans="1:12" ht="15" customHeight="1">
      <c r="A29" s="68">
        <v>45231</v>
      </c>
      <c r="B29" s="88">
        <v>12.81</v>
      </c>
      <c r="C29" s="89">
        <v>-1.1000000000000001</v>
      </c>
      <c r="D29" s="90">
        <f>D28*(1+B29/100)*(1+Supuestos!B17*C29/100)*(1+Supuestos!B20)</f>
        <v>261968.72794464874</v>
      </c>
      <c r="E29" s="55">
        <f>D29/F29*100</f>
        <v>626.87393286520296</v>
      </c>
      <c r="F29" s="55">
        <f>F28*(1+B29/100)</f>
        <v>41789.698727348426</v>
      </c>
      <c r="G29" s="54">
        <v>154166.66666666701</v>
      </c>
      <c r="H29" s="56">
        <f>D29/G29*100</f>
        <v>169.92566136950151</v>
      </c>
      <c r="I29" s="56">
        <f>(D29-D28)/D28*100</f>
        <v>11.101041309999982</v>
      </c>
      <c r="J29" s="52">
        <f t="shared" si="1"/>
        <v>121735844.33931819</v>
      </c>
      <c r="K29" s="51">
        <v>15594361.659866661</v>
      </c>
      <c r="L29" s="56">
        <f t="shared" ref="L29:L30" si="8">700911000/1000</f>
        <v>700911</v>
      </c>
    </row>
    <row r="30" spans="1:12" ht="15" customHeight="1">
      <c r="A30" s="91">
        <v>45261</v>
      </c>
      <c r="B30" s="92">
        <v>25.47</v>
      </c>
      <c r="C30" s="89">
        <v>-4.7</v>
      </c>
      <c r="D30" s="93">
        <f>D29*(1+B30/100)*(1+Supuestos!B17*C30/100)*(1+Supuestos!B20)</f>
        <v>328931.12215461698</v>
      </c>
      <c r="E30" s="50">
        <f>D30/F30*100</f>
        <v>627.32967021439595</v>
      </c>
      <c r="F30" s="50">
        <f>F29*(1+B30/100)</f>
        <v>52433.53499320407</v>
      </c>
      <c r="G30" s="49">
        <v>154166.66666666701</v>
      </c>
      <c r="H30" s="52">
        <f>D30/G30*100</f>
        <v>213.3607278840754</v>
      </c>
      <c r="I30" s="52">
        <f>(D30-D29)/D29*100</f>
        <v>25.561216689999998</v>
      </c>
      <c r="J30" s="52">
        <f t="shared" si="1"/>
        <v>73512507.34184429</v>
      </c>
      <c r="K30" s="51">
        <v>18723635.61996774</v>
      </c>
      <c r="L30" s="56">
        <f t="shared" si="8"/>
        <v>700911</v>
      </c>
    </row>
    <row r="31" spans="1:12">
      <c r="A31" s="68">
        <v>45292</v>
      </c>
      <c r="B31" s="96">
        <v>20.61</v>
      </c>
      <c r="C31" s="97">
        <v>0.7</v>
      </c>
      <c r="D31" s="58"/>
      <c r="E31" s="58"/>
      <c r="F31" s="58"/>
      <c r="G31" s="58"/>
      <c r="H31" s="58"/>
      <c r="I31" s="58"/>
      <c r="J31" s="52">
        <f t="shared" si="1"/>
        <v>93893895.057050273</v>
      </c>
      <c r="K31" s="51">
        <v>19351531.77125806</v>
      </c>
      <c r="L31" s="52">
        <f>668673000/1000</f>
        <v>668673</v>
      </c>
    </row>
    <row r="32" spans="1:12" ht="15" customHeight="1">
      <c r="A32" s="91">
        <v>45323</v>
      </c>
      <c r="B32" s="96">
        <v>4.03</v>
      </c>
      <c r="C32" s="97">
        <v>0.2</v>
      </c>
      <c r="D32" s="98"/>
      <c r="E32" s="98"/>
      <c r="F32" s="98"/>
      <c r="G32" s="98"/>
      <c r="H32" s="98"/>
      <c r="I32" s="98"/>
      <c r="J32" s="52">
        <f t="shared" si="1"/>
        <v>495293174.50671679</v>
      </c>
      <c r="K32" s="51">
        <v>19960314.932620689</v>
      </c>
      <c r="L32" s="52">
        <f t="shared" ref="L32:L33" si="9">668673000/1000</f>
        <v>668673</v>
      </c>
    </row>
    <row r="33" spans="1:12" ht="14" customHeight="1">
      <c r="A33" s="68">
        <v>45352</v>
      </c>
      <c r="B33" s="96">
        <v>11.01</v>
      </c>
      <c r="C33" s="97">
        <v>-1.3</v>
      </c>
      <c r="D33" s="99"/>
      <c r="E33" s="99"/>
      <c r="F33" s="99"/>
      <c r="G33" s="100"/>
      <c r="H33" s="99"/>
      <c r="I33" s="99"/>
      <c r="J33" s="52">
        <f t="shared" si="1"/>
        <v>194379167.22539628</v>
      </c>
      <c r="K33" s="51">
        <v>21401146.311516128</v>
      </c>
      <c r="L33" s="52">
        <f t="shared" si="9"/>
        <v>668673</v>
      </c>
    </row>
    <row r="34" spans="1:12" ht="15" customHeight="1">
      <c r="A34" s="91">
        <v>45383</v>
      </c>
      <c r="B34" s="96">
        <v>8.83</v>
      </c>
      <c r="C34" s="97">
        <v>-1.5</v>
      </c>
      <c r="D34" s="101"/>
      <c r="E34" s="102"/>
      <c r="F34" s="101"/>
      <c r="G34" s="102"/>
      <c r="H34" s="102"/>
      <c r="I34" s="58"/>
      <c r="J34" s="52">
        <f t="shared" si="1"/>
        <v>252221063.93242741</v>
      </c>
      <c r="K34" s="51">
        <v>22271119.945233341</v>
      </c>
      <c r="L34" s="56">
        <f>720760000/1000</f>
        <v>720760</v>
      </c>
    </row>
    <row r="35" spans="1:12" ht="15" customHeight="1">
      <c r="A35" s="68">
        <v>45413</v>
      </c>
      <c r="B35" s="96">
        <v>4.18</v>
      </c>
      <c r="C35" s="97">
        <v>0.9</v>
      </c>
      <c r="D35" s="103"/>
      <c r="E35" s="104"/>
      <c r="F35" s="104"/>
      <c r="G35" s="104"/>
      <c r="H35" s="104"/>
      <c r="I35" s="58"/>
      <c r="J35" s="52">
        <f t="shared" si="1"/>
        <v>606099060.39743805</v>
      </c>
      <c r="K35" s="51">
        <v>25334940.72461291</v>
      </c>
      <c r="L35" s="56">
        <f t="shared" ref="L35:L36" si="10">720760000/1000</f>
        <v>720760</v>
      </c>
    </row>
    <row r="36" spans="1:12" ht="15" customHeight="1">
      <c r="A36" s="91">
        <v>45444</v>
      </c>
      <c r="B36" s="96">
        <v>4.58</v>
      </c>
      <c r="C36" s="97">
        <v>0.2</v>
      </c>
      <c r="D36" s="103"/>
      <c r="E36" s="104"/>
      <c r="F36" s="104"/>
      <c r="G36" s="104"/>
      <c r="H36" s="104"/>
      <c r="I36" s="58"/>
      <c r="J36" s="52">
        <f t="shared" si="1"/>
        <v>656662842.4614265</v>
      </c>
      <c r="K36" s="51">
        <v>30075158.184733331</v>
      </c>
      <c r="L36" s="56">
        <f t="shared" si="10"/>
        <v>720760</v>
      </c>
    </row>
    <row r="37" spans="1:12">
      <c r="A37" s="68">
        <v>45474</v>
      </c>
      <c r="B37" s="96">
        <v>4.03</v>
      </c>
      <c r="C37" s="97">
        <v>3</v>
      </c>
      <c r="D37" s="58"/>
      <c r="E37" s="58"/>
      <c r="F37" s="58"/>
      <c r="G37" s="58"/>
      <c r="H37" s="58"/>
      <c r="I37" s="58"/>
      <c r="J37" s="52">
        <f t="shared" si="1"/>
        <v>834051609.47090375</v>
      </c>
      <c r="K37" s="51">
        <v>33612279.861677423</v>
      </c>
      <c r="L37" s="52">
        <f>708557000/1000</f>
        <v>708557</v>
      </c>
    </row>
    <row r="38" spans="1:12">
      <c r="A38" s="91">
        <v>45505</v>
      </c>
      <c r="B38" s="96">
        <v>4.17</v>
      </c>
      <c r="C38" s="97">
        <v>1</v>
      </c>
      <c r="D38" s="58"/>
      <c r="E38" s="58"/>
      <c r="F38" s="58"/>
      <c r="G38" s="58"/>
      <c r="H38" s="58"/>
      <c r="I38" s="58"/>
      <c r="J38" s="52">
        <f t="shared" si="1"/>
        <v>811491524.29333925</v>
      </c>
      <c r="K38" s="51">
        <v>33839196.563032247</v>
      </c>
      <c r="L38" s="52">
        <f t="shared" ref="L38:L39" si="11">708557000/1000</f>
        <v>708557</v>
      </c>
    </row>
    <row r="39" spans="1:12">
      <c r="A39" s="68">
        <v>45536</v>
      </c>
      <c r="B39" s="96">
        <v>3.47</v>
      </c>
      <c r="C39" s="97">
        <v>0</v>
      </c>
      <c r="D39" s="58"/>
      <c r="E39" s="58"/>
      <c r="F39" s="58"/>
      <c r="G39" s="58"/>
      <c r="H39" s="58"/>
      <c r="I39" s="58"/>
      <c r="J39" s="52">
        <f t="shared" si="1"/>
        <v>996604071.68780017</v>
      </c>
      <c r="K39" s="51">
        <v>34582161.287566669</v>
      </c>
      <c r="L39" s="52">
        <f t="shared" si="11"/>
        <v>708557</v>
      </c>
    </row>
    <row r="40" spans="1:12">
      <c r="A40" s="91">
        <v>45566</v>
      </c>
      <c r="B40" s="96">
        <v>2.69</v>
      </c>
      <c r="C40" s="97">
        <v>0.3</v>
      </c>
      <c r="D40" s="58"/>
      <c r="E40" s="58"/>
      <c r="F40" s="58"/>
      <c r="G40" s="58"/>
      <c r="H40" s="58"/>
      <c r="I40" s="58"/>
      <c r="J40" s="52">
        <f t="shared" si="1"/>
        <v>1330025083.0819046</v>
      </c>
      <c r="K40" s="51">
        <v>35777674.734903231</v>
      </c>
      <c r="L40" s="56">
        <f>710735000/1000</f>
        <v>710735</v>
      </c>
    </row>
    <row r="41" spans="1:12">
      <c r="A41" s="68">
        <v>45597</v>
      </c>
      <c r="B41" s="96">
        <v>2.4300000000000002</v>
      </c>
      <c r="C41" s="97">
        <v>0.7</v>
      </c>
      <c r="D41" s="58"/>
      <c r="E41" s="58"/>
      <c r="F41" s="58"/>
      <c r="G41" s="58"/>
      <c r="H41" s="58"/>
      <c r="I41" s="58"/>
      <c r="J41" s="52">
        <f t="shared" si="1"/>
        <v>1558012063.7393687</v>
      </c>
      <c r="K41" s="51">
        <v>37859693.148866661</v>
      </c>
      <c r="L41" s="56">
        <f>710735000/1000</f>
        <v>710735</v>
      </c>
    </row>
    <row r="42" spans="1:12">
      <c r="A42" s="91">
        <v>45627</v>
      </c>
      <c r="B42" s="96">
        <v>2.7</v>
      </c>
      <c r="C42" s="97">
        <v>0.5</v>
      </c>
      <c r="D42" s="58"/>
      <c r="E42" s="58"/>
      <c r="F42" s="58"/>
      <c r="G42" s="58"/>
      <c r="H42" s="58"/>
      <c r="I42" s="58"/>
      <c r="J42" s="52">
        <f t="shared" si="1"/>
        <v>1611371758.348865</v>
      </c>
      <c r="K42" s="51">
        <v>43507037.475419357</v>
      </c>
      <c r="L42" s="56">
        <f>710735000/1000</f>
        <v>710735</v>
      </c>
    </row>
    <row r="43" spans="1:12">
      <c r="A43" s="68">
        <v>45658</v>
      </c>
      <c r="B43" s="96">
        <v>2.21</v>
      </c>
      <c r="C43" s="105">
        <v>0.4</v>
      </c>
      <c r="D43" s="58"/>
      <c r="E43" s="58"/>
      <c r="F43" s="58"/>
      <c r="G43" s="58"/>
      <c r="H43" s="58"/>
      <c r="I43" s="58"/>
      <c r="J43" s="52">
        <f t="shared" si="1"/>
        <v>2065613740.002919</v>
      </c>
      <c r="K43" s="51">
        <v>45650063.654064506</v>
      </c>
      <c r="L43" s="52">
        <f xml:space="preserve"> 708114000/1000</f>
        <v>708114</v>
      </c>
    </row>
    <row r="44" spans="1:12">
      <c r="A44" s="91">
        <v>45689</v>
      </c>
      <c r="B44" s="96">
        <v>2.4</v>
      </c>
      <c r="C44" s="105">
        <v>0.9</v>
      </c>
      <c r="D44" s="58"/>
      <c r="E44" s="58"/>
      <c r="F44" s="58"/>
      <c r="G44" s="58"/>
      <c r="H44" s="58"/>
      <c r="I44" s="58"/>
      <c r="J44" s="52">
        <f t="shared" si="1"/>
        <v>1889198744.4657736</v>
      </c>
      <c r="K44" s="51">
        <v>45340769.867178559</v>
      </c>
      <c r="L44" s="52">
        <f t="shared" ref="L44:L45" si="12" xml:space="preserve"> 708114000/1000</f>
        <v>708114</v>
      </c>
    </row>
    <row r="45" spans="1:12">
      <c r="A45" s="68">
        <v>45717</v>
      </c>
      <c r="B45" s="96">
        <v>3.73</v>
      </c>
      <c r="C45" s="105">
        <v>-1.9</v>
      </c>
      <c r="D45" s="58"/>
      <c r="E45" s="58"/>
      <c r="F45" s="58"/>
      <c r="G45" s="58"/>
      <c r="H45" s="58"/>
      <c r="I45" s="58"/>
      <c r="J45" s="52">
        <f t="shared" si="1"/>
        <v>1262011815.9552019</v>
      </c>
      <c r="K45" s="51">
        <v>47073040.735129029</v>
      </c>
      <c r="L45" s="52">
        <f t="shared" si="12"/>
        <v>708114</v>
      </c>
    </row>
    <row r="46" spans="1:12">
      <c r="A46" s="91">
        <v>45748</v>
      </c>
      <c r="B46" s="96">
        <v>2.78</v>
      </c>
      <c r="C46" s="105">
        <v>1.1000000000000001</v>
      </c>
      <c r="D46" s="58"/>
      <c r="E46" s="58"/>
      <c r="F46" s="58"/>
      <c r="G46" s="58"/>
      <c r="H46" s="58"/>
      <c r="I46" s="58"/>
      <c r="J46" s="52">
        <f t="shared" si="1"/>
        <v>1721688815.8872902</v>
      </c>
      <c r="K46" s="51">
        <v>47862949.081666663</v>
      </c>
      <c r="L46" s="56">
        <f xml:space="preserve"> 776529000/1000</f>
        <v>776529</v>
      </c>
    </row>
    <row r="47" spans="1:12">
      <c r="A47" s="68">
        <v>45778</v>
      </c>
      <c r="B47" s="96">
        <v>1.5</v>
      </c>
      <c r="C47" s="105">
        <v>-0.2</v>
      </c>
      <c r="D47" s="58"/>
      <c r="E47" s="58"/>
      <c r="F47" s="58"/>
      <c r="G47" s="58"/>
      <c r="H47" s="58"/>
      <c r="I47" s="58"/>
      <c r="J47" s="52">
        <f t="shared" si="1"/>
        <v>3215535130.9376349</v>
      </c>
      <c r="K47" s="51">
        <v>48233026.964064524</v>
      </c>
      <c r="L47" s="56">
        <f t="shared" ref="L47:L48" si="13" xml:space="preserve"> 776529000/1000</f>
        <v>776529</v>
      </c>
    </row>
    <row r="48" spans="1:12">
      <c r="A48" s="91">
        <v>45809</v>
      </c>
      <c r="B48" s="96">
        <v>1.62</v>
      </c>
      <c r="C48" s="105">
        <v>-0.3</v>
      </c>
      <c r="D48" s="58"/>
      <c r="E48" s="58"/>
      <c r="F48" s="58"/>
      <c r="G48" s="58"/>
      <c r="H48" s="58"/>
      <c r="I48" s="58"/>
      <c r="J48" s="52">
        <f t="shared" si="1"/>
        <v>3118049454.5061727</v>
      </c>
      <c r="K48" s="51">
        <v>50512401.163000003</v>
      </c>
      <c r="L48" s="56">
        <f t="shared" si="13"/>
        <v>776529</v>
      </c>
    </row>
    <row r="49" spans="1:13">
      <c r="A49" s="68">
        <v>45839</v>
      </c>
      <c r="B49" s="96">
        <v>1.9</v>
      </c>
      <c r="C49" s="105">
        <v>0.2</v>
      </c>
      <c r="D49" s="58"/>
      <c r="E49" s="58"/>
      <c r="F49" s="58"/>
      <c r="G49" s="58"/>
      <c r="H49" s="58"/>
      <c r="I49" s="58"/>
      <c r="J49" s="52">
        <f t="shared" si="1"/>
        <v>2847087256.1612906</v>
      </c>
      <c r="K49" s="51">
        <v>54094657.867064521</v>
      </c>
      <c r="L49" s="52">
        <f>737868000/1000</f>
        <v>737868</v>
      </c>
    </row>
    <row r="50" spans="1:13">
      <c r="A50" s="91">
        <v>45870</v>
      </c>
      <c r="B50" s="96">
        <v>1.88</v>
      </c>
      <c r="C50" s="105">
        <v>0.7</v>
      </c>
      <c r="D50" s="58"/>
      <c r="E50" s="58"/>
      <c r="F50" s="58"/>
      <c r="G50" s="58"/>
      <c r="H50" s="58"/>
      <c r="I50" s="58"/>
      <c r="J50" s="52">
        <f t="shared" si="1"/>
        <v>2810895837.2306108</v>
      </c>
      <c r="K50" s="51">
        <v>52844841.73993548</v>
      </c>
      <c r="L50" s="52">
        <f t="shared" ref="L50:L51" si="14">737868000/1000</f>
        <v>737868</v>
      </c>
    </row>
    <row r="51" spans="1:13">
      <c r="A51" s="68">
        <v>45901</v>
      </c>
      <c r="B51" s="96">
        <v>2.08</v>
      </c>
      <c r="C51" s="105">
        <v>0.7</v>
      </c>
      <c r="D51" s="58"/>
      <c r="E51" s="58"/>
      <c r="F51" s="58"/>
      <c r="G51" s="58"/>
      <c r="H51" s="58"/>
      <c r="I51" s="58"/>
      <c r="J51" s="52">
        <f t="shared" si="1"/>
        <v>2488009320.6730766</v>
      </c>
      <c r="K51" s="51">
        <v>51750593.869999997</v>
      </c>
      <c r="L51" s="52">
        <f t="shared" si="14"/>
        <v>737868</v>
      </c>
    </row>
    <row r="52" spans="1:13">
      <c r="A52" s="91">
        <v>45931</v>
      </c>
      <c r="B52" s="96">
        <v>2.34</v>
      </c>
      <c r="C52" s="105">
        <v>-0.5</v>
      </c>
      <c r="D52" s="58"/>
      <c r="E52" s="58"/>
      <c r="F52" s="58"/>
      <c r="G52" s="58"/>
      <c r="H52" s="58"/>
      <c r="I52" s="58"/>
      <c r="J52" s="52">
        <f t="shared" si="1"/>
        <v>2249095799.9324508</v>
      </c>
      <c r="K52" s="51">
        <v>52628841.718419343</v>
      </c>
      <c r="L52" s="58">
        <f>737868*1006%</f>
        <v>7422952.0800000001</v>
      </c>
    </row>
    <row r="53" spans="1:13">
      <c r="A53" s="68">
        <v>45962</v>
      </c>
      <c r="B53" s="96">
        <v>2.4700000000000002</v>
      </c>
      <c r="C53" s="105">
        <v>-0.1</v>
      </c>
      <c r="D53" s="58"/>
      <c r="E53" s="58"/>
      <c r="F53" s="58"/>
      <c r="G53" s="58"/>
      <c r="H53" s="58"/>
      <c r="I53" s="58"/>
      <c r="J53" s="52">
        <f t="shared" si="1"/>
        <v>2112285036.7881246</v>
      </c>
      <c r="K53" s="51">
        <v>52173440.408666678</v>
      </c>
      <c r="L53" s="58">
        <f t="shared" ref="L53:L54" si="15">737868*1006%</f>
        <v>7422952.0800000001</v>
      </c>
    </row>
    <row r="54" spans="1:13">
      <c r="A54" s="91">
        <v>45992</v>
      </c>
      <c r="B54" s="96">
        <v>2.85</v>
      </c>
      <c r="C54" s="105">
        <v>1.8</v>
      </c>
      <c r="D54" s="58"/>
      <c r="E54" s="58"/>
      <c r="F54" s="58"/>
      <c r="G54" s="58"/>
      <c r="H54" s="58"/>
      <c r="I54" s="58"/>
      <c r="J54" s="52">
        <f t="shared" si="1"/>
        <v>2038258261.7362759</v>
      </c>
      <c r="K54" s="51">
        <v>58090360.459483869</v>
      </c>
      <c r="L54" s="58">
        <f t="shared" si="15"/>
        <v>7422952.0800000001</v>
      </c>
    </row>
    <row r="55" spans="1:13">
      <c r="A55" s="68">
        <v>46023</v>
      </c>
      <c r="B55" s="96">
        <v>2.88</v>
      </c>
      <c r="C55" s="105">
        <v>0.5</v>
      </c>
      <c r="D55" s="58"/>
      <c r="E55" s="58"/>
      <c r="F55" s="58"/>
      <c r="G55" s="58"/>
      <c r="H55" s="58"/>
      <c r="I55" s="58"/>
      <c r="J55" s="52">
        <f t="shared" si="1"/>
        <v>2028032435.0873654</v>
      </c>
      <c r="K55" s="51">
        <v>58407334.130516127</v>
      </c>
      <c r="L55" s="58">
        <f>L52*1.001</f>
        <v>7430375.0320799993</v>
      </c>
    </row>
    <row r="56" spans="1:13">
      <c r="A56" s="91">
        <v>46054</v>
      </c>
      <c r="B56" s="96">
        <v>2.9</v>
      </c>
      <c r="C56" s="105">
        <v>0.5</v>
      </c>
      <c r="D56" s="58"/>
      <c r="E56" s="58"/>
      <c r="F56" s="58"/>
      <c r="G56" s="58"/>
      <c r="H56" s="58"/>
      <c r="I56" s="58"/>
      <c r="J56" s="52">
        <f t="shared" si="1"/>
        <v>1963456871.7007387</v>
      </c>
      <c r="K56" s="51">
        <v>56940249.279321417</v>
      </c>
      <c r="L56" s="58">
        <f>L52*1.001</f>
        <v>7430375.0320799993</v>
      </c>
      <c r="M56" s="58"/>
    </row>
    <row r="57" spans="1:13">
      <c r="A57" s="106">
        <v>46082</v>
      </c>
      <c r="B57" s="107">
        <v>2.7</v>
      </c>
      <c r="C57" s="58"/>
      <c r="D57" s="58"/>
      <c r="E57" s="58"/>
      <c r="F57" s="58"/>
      <c r="G57" s="58"/>
      <c r="H57" s="58"/>
      <c r="I57" s="58"/>
      <c r="J57" s="52">
        <f t="shared" si="1"/>
        <v>2188912592.5925927</v>
      </c>
      <c r="K57" s="65">
        <v>59100640</v>
      </c>
      <c r="L57" s="58">
        <f>L53*1.001</f>
        <v>7430375.0320799993</v>
      </c>
    </row>
    <row r="58" spans="1:13">
      <c r="K58" s="65">
        <v>59100640</v>
      </c>
    </row>
    <row r="59" spans="1:13">
      <c r="A59" s="76" t="s">
        <v>127</v>
      </c>
      <c r="B59" s="76"/>
      <c r="C59" s="76"/>
      <c r="D59" s="76"/>
      <c r="E59" s="76"/>
      <c r="F59" s="76"/>
      <c r="G59" s="76"/>
      <c r="H59" s="76"/>
      <c r="I59" s="76"/>
    </row>
    <row r="60" spans="1:13" ht="26">
      <c r="A60" s="69" t="s">
        <v>128</v>
      </c>
      <c r="B60" s="16" t="s">
        <v>129</v>
      </c>
      <c r="C60" s="16" t="s">
        <v>130</v>
      </c>
      <c r="D60" s="16" t="s">
        <v>131</v>
      </c>
      <c r="E60" s="16" t="s">
        <v>132</v>
      </c>
      <c r="F60" s="16" t="s">
        <v>133</v>
      </c>
      <c r="G60" s="16" t="s">
        <v>134</v>
      </c>
      <c r="H60" s="16" t="s">
        <v>135</v>
      </c>
      <c r="I60" s="16"/>
    </row>
    <row r="61" spans="1:13">
      <c r="A61" s="70" t="s">
        <v>5</v>
      </c>
      <c r="B61" s="9">
        <v>80000</v>
      </c>
      <c r="C61" s="10" t="e">
        <f>B61/F33*100</f>
        <v>#DIV/0!</v>
      </c>
      <c r="D61" s="9">
        <v>15.2</v>
      </c>
      <c r="E61" s="10">
        <f>1/(D61/100)</f>
        <v>6.5789473684210531</v>
      </c>
      <c r="F61" s="9">
        <v>211.4</v>
      </c>
      <c r="G61" s="10" t="s">
        <v>65</v>
      </c>
      <c r="H61" s="10" t="s">
        <v>65</v>
      </c>
    </row>
    <row r="62" spans="1:13">
      <c r="A62" s="71" t="s">
        <v>6</v>
      </c>
      <c r="B62" s="18">
        <f>D45</f>
        <v>0</v>
      </c>
      <c r="C62" s="17" t="e">
        <f>B62/F45*100</f>
        <v>#DIV/0!</v>
      </c>
      <c r="D62" s="19">
        <f>H45</f>
        <v>0</v>
      </c>
      <c r="E62" s="17" t="e">
        <f>1/(D62/100)</f>
        <v>#DIV/0!</v>
      </c>
      <c r="F62" s="17">
        <f>((1+Supuestos!C34/100/12)^12-1)*100</f>
        <v>0</v>
      </c>
      <c r="G62" s="17">
        <f>(B62-B61)/B61*100</f>
        <v>-100</v>
      </c>
      <c r="H62" s="17" t="e">
        <f>(C62-C61)/C61*100</f>
        <v>#DIV/0!</v>
      </c>
    </row>
    <row r="63" spans="1:13">
      <c r="A63" s="72" t="s">
        <v>7</v>
      </c>
      <c r="B63" s="21">
        <f>D57</f>
        <v>0</v>
      </c>
      <c r="C63" s="20" t="e">
        <f>B63/F57*100</f>
        <v>#DIV/0!</v>
      </c>
      <c r="D63" s="22">
        <f>H57</f>
        <v>0</v>
      </c>
      <c r="E63" s="20" t="e">
        <f>1/(D63/100)</f>
        <v>#DIV/0!</v>
      </c>
      <c r="F63" s="20">
        <f>((1+Supuestos!D34/100/12)^12-1)*100</f>
        <v>0</v>
      </c>
      <c r="G63" s="20" t="e">
        <f>(B63-B62)/B62*100</f>
        <v>#DIV/0!</v>
      </c>
      <c r="H63" s="20" t="e">
        <f>(C63-C62)/C62*100</f>
        <v>#DIV/0!</v>
      </c>
    </row>
  </sheetData>
  <mergeCells count="4">
    <mergeCell ref="A1:I1"/>
    <mergeCell ref="A2:I2"/>
    <mergeCell ref="A4:I4"/>
    <mergeCell ref="A59:I59"/>
  </mergeCells>
  <conditionalFormatting sqref="K7:K56">
    <cfRule type="cellIs" dxfId="1" priority="1" operator="equal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55EB-BBBA-5240-ABEE-8BEDD9518F03}">
  <dimension ref="A10:P71"/>
  <sheetViews>
    <sheetView tabSelected="1" topLeftCell="C1" workbookViewId="0">
      <selection activeCell="D10" sqref="D10:P71"/>
    </sheetView>
  </sheetViews>
  <sheetFormatPr baseColWidth="10" defaultRowHeight="15"/>
  <cols>
    <col min="4" max="4" width="15.1640625" customWidth="1"/>
    <col min="10" max="10" width="20" customWidth="1"/>
    <col min="11" max="13" width="15" customWidth="1"/>
    <col min="14" max="15" width="20" customWidth="1"/>
    <col min="16" max="16" width="15" customWidth="1"/>
  </cols>
  <sheetData>
    <row r="10" spans="1:16" ht="78">
      <c r="A10" s="115" t="s">
        <v>56</v>
      </c>
      <c r="B10" s="116" t="s">
        <v>120</v>
      </c>
      <c r="C10" s="116" t="s">
        <v>121</v>
      </c>
      <c r="D10" s="117" t="s">
        <v>214</v>
      </c>
      <c r="E10" s="118" t="s">
        <v>61</v>
      </c>
      <c r="F10" s="119" t="s">
        <v>212</v>
      </c>
      <c r="G10" s="120" t="s">
        <v>215</v>
      </c>
      <c r="H10" s="120" t="s">
        <v>216</v>
      </c>
      <c r="I10" s="122" t="s">
        <v>217</v>
      </c>
      <c r="J10" s="172" t="s">
        <v>220</v>
      </c>
      <c r="K10" s="162" t="s">
        <v>221</v>
      </c>
      <c r="L10" s="162" t="s">
        <v>222</v>
      </c>
      <c r="M10" s="162" t="s">
        <v>223</v>
      </c>
      <c r="N10" s="163" t="s">
        <v>224</v>
      </c>
      <c r="O10" s="164" t="s">
        <v>225</v>
      </c>
      <c r="P10" s="175" t="s">
        <v>226</v>
      </c>
    </row>
    <row r="11" spans="1:16">
      <c r="A11" s="123" t="s">
        <v>219</v>
      </c>
      <c r="B11" s="121"/>
      <c r="C11" s="121"/>
      <c r="D11" s="113"/>
      <c r="E11" s="113"/>
      <c r="F11" s="113"/>
      <c r="G11" s="58">
        <v>3.9</v>
      </c>
      <c r="H11" s="58"/>
      <c r="I11" s="170"/>
      <c r="J11" s="173"/>
      <c r="K11" s="165"/>
      <c r="L11" s="165"/>
      <c r="M11" s="165"/>
      <c r="N11" s="165"/>
      <c r="O11" s="165"/>
      <c r="P11" s="176"/>
    </row>
    <row r="12" spans="1:16">
      <c r="A12" s="114">
        <v>44562</v>
      </c>
      <c r="B12" s="109">
        <v>3.88</v>
      </c>
      <c r="C12" s="89">
        <v>-0.8</v>
      </c>
      <c r="D12" s="108">
        <f>E12*(100/B12)</f>
        <v>150079893.07199866</v>
      </c>
      <c r="E12" s="51">
        <v>5823099.8511935482</v>
      </c>
      <c r="F12" s="108">
        <f>691652000/1000</f>
        <v>691652</v>
      </c>
      <c r="G12" s="58">
        <f>G11*(1+B12/100)</f>
        <v>4.0513199999999996</v>
      </c>
      <c r="H12" s="58">
        <f>E12/F12</f>
        <v>8.4191180697714287</v>
      </c>
      <c r="I12" s="171">
        <f>IF(E12=0,"",F12/E12)</f>
        <v>0.11877728661277095</v>
      </c>
      <c r="J12" s="174">
        <f>E12</f>
        <v>5823099.8511935482</v>
      </c>
      <c r="K12" s="166">
        <f>J12/F12*100</f>
        <v>841.91180697714287</v>
      </c>
      <c r="L12" s="166">
        <f>IF(J12=0,"",F12/J12)</f>
        <v>0.11877728661277095</v>
      </c>
      <c r="M12" s="167" t="s">
        <v>65</v>
      </c>
      <c r="N12" s="168">
        <f>E12</f>
        <v>5823099.8511935482</v>
      </c>
      <c r="O12" s="169">
        <f>E12</f>
        <v>5823099.8511935482</v>
      </c>
      <c r="P12" s="177">
        <v>0</v>
      </c>
    </row>
    <row r="13" spans="1:16">
      <c r="A13" s="114">
        <v>44593</v>
      </c>
      <c r="B13" s="110">
        <v>4.6900000000000004</v>
      </c>
      <c r="C13" s="89">
        <v>1.4</v>
      </c>
      <c r="D13" s="108">
        <f t="shared" ref="D13:D62" si="0">E13*(100/B13)</f>
        <v>123358660.72418517</v>
      </c>
      <c r="E13" s="51">
        <v>5785521.1879642848</v>
      </c>
      <c r="F13" s="108">
        <f t="shared" ref="F13:F14" si="1">691652000/1000</f>
        <v>691652</v>
      </c>
      <c r="G13" s="58">
        <f t="shared" ref="G13:G62" si="2">G12*(1+B13/100)</f>
        <v>4.2413269079999996</v>
      </c>
      <c r="H13" s="58">
        <f>E13/F13</f>
        <v>8.3647863202366004</v>
      </c>
      <c r="I13" s="171">
        <f t="shared" ref="I13:I71" si="3">IF(E13=0,"",F13/E13)</f>
        <v>0.1195487800543977</v>
      </c>
      <c r="J13" s="174">
        <f>J12*(1+B13/100)*(1+1.1*C13/100)*(1-0.02)</f>
        <v>6066283.0687410012</v>
      </c>
      <c r="K13" s="166">
        <f>J13/F13*100</f>
        <v>877.07157193805574</v>
      </c>
      <c r="L13" s="166">
        <f>IF(J13=0,"",F13/J13)</f>
        <v>0.11401578069510458</v>
      </c>
      <c r="M13" s="166">
        <f>((J13-J12)/J12)*100</f>
        <v>4.1761814800000083</v>
      </c>
      <c r="N13" s="168">
        <f>N12*(1+B13/100)*(1+1.2*C13/100)*(1-0.01)</f>
        <v>6136633.2540638363</v>
      </c>
      <c r="O13" s="169">
        <f>O12*(1+B13/100)*(1+0.9*C13/100)*(1-0.04)</f>
        <v>5926094.779167003</v>
      </c>
      <c r="P13" s="177">
        <f>IF(E13=0,"",(J13-E13)/E13*100)</f>
        <v>4.8528364455874771</v>
      </c>
    </row>
    <row r="14" spans="1:16">
      <c r="A14" s="114">
        <v>44621</v>
      </c>
      <c r="B14" s="109">
        <v>6.73</v>
      </c>
      <c r="C14" s="89">
        <v>-0.6</v>
      </c>
      <c r="D14" s="108">
        <f t="shared" si="0"/>
        <v>85407658.170445278</v>
      </c>
      <c r="E14" s="51">
        <v>5747935.3948709676</v>
      </c>
      <c r="F14" s="108">
        <f t="shared" si="1"/>
        <v>691652</v>
      </c>
      <c r="G14" s="58">
        <f t="shared" si="2"/>
        <v>4.5267682089083996</v>
      </c>
      <c r="H14" s="58">
        <f t="shared" ref="H14:H62" si="4">E14/F14</f>
        <v>8.310444262245996</v>
      </c>
      <c r="I14" s="171">
        <f t="shared" si="3"/>
        <v>0.12033051043287284</v>
      </c>
      <c r="J14" s="174">
        <f t="shared" ref="J14:J71" si="5">J13*(1+B14/100)*(1+1.1*C14/100)*(1-0.02)</f>
        <v>6303175.6908121025</v>
      </c>
      <c r="K14" s="166">
        <f t="shared" ref="K14:K71" si="6">J14/F14*100</f>
        <v>911.32183392979459</v>
      </c>
      <c r="L14" s="166">
        <f t="shared" ref="L14:L71" si="7">IF(J14=0,"",F14/J14)</f>
        <v>0.10973071891494229</v>
      </c>
      <c r="M14" s="166">
        <f t="shared" ref="M14:M71" si="8">((J14-J13)/J13)*100</f>
        <v>3.9050703599999679</v>
      </c>
      <c r="N14" s="168">
        <f t="shared" ref="N14:N71" si="9">N13*(1+B14/100)*(1+1.2*C14/100)*(1-0.01)</f>
        <v>6437446.6321672481</v>
      </c>
      <c r="O14" s="169">
        <f t="shared" ref="O14:O71" si="10">O13*(1+B14/100)*(1+0.9*C14/100)*(1-0.04)</f>
        <v>6039135.7292474834</v>
      </c>
      <c r="P14" s="177">
        <f t="shared" ref="P14:P71" si="11">IF(E14=0,"",(J14-E14)/E14*100)</f>
        <v>9.6598214453939448</v>
      </c>
    </row>
    <row r="15" spans="1:16">
      <c r="A15" s="114">
        <v>44652</v>
      </c>
      <c r="B15" s="110">
        <v>6.05</v>
      </c>
      <c r="C15" s="89">
        <v>0.6</v>
      </c>
      <c r="D15" s="108">
        <f t="shared" si="0"/>
        <v>96793670.734986246</v>
      </c>
      <c r="E15" s="51">
        <v>5856017.079466667</v>
      </c>
      <c r="F15" s="112">
        <f>770220000/1000</f>
        <v>770220</v>
      </c>
      <c r="G15" s="58">
        <f t="shared" si="2"/>
        <v>4.8006376855473576</v>
      </c>
      <c r="H15" s="58">
        <f t="shared" si="4"/>
        <v>7.6030446878381071</v>
      </c>
      <c r="I15" s="171">
        <f t="shared" si="3"/>
        <v>0.13152625573799509</v>
      </c>
      <c r="J15" s="174">
        <f t="shared" si="5"/>
        <v>6594062.9249645565</v>
      </c>
      <c r="K15" s="166">
        <f t="shared" si="6"/>
        <v>856.12720066533666</v>
      </c>
      <c r="L15" s="166">
        <f t="shared" si="7"/>
        <v>0.11680507280026298</v>
      </c>
      <c r="M15" s="166">
        <f t="shared" si="8"/>
        <v>4.614931399999989</v>
      </c>
      <c r="N15" s="168">
        <f t="shared" si="9"/>
        <v>6807305.2617087634</v>
      </c>
      <c r="O15" s="169">
        <f t="shared" si="10"/>
        <v>6181524.2490697335</v>
      </c>
      <c r="P15" s="177">
        <f t="shared" si="11"/>
        <v>12.603205138962922</v>
      </c>
    </row>
    <row r="16" spans="1:16">
      <c r="A16" s="114">
        <v>44682</v>
      </c>
      <c r="B16" s="109">
        <v>5.05</v>
      </c>
      <c r="C16" s="89">
        <v>0</v>
      </c>
      <c r="D16" s="108">
        <f t="shared" si="0"/>
        <v>119754439.29862663</v>
      </c>
      <c r="E16" s="51">
        <v>6047599.1845806446</v>
      </c>
      <c r="F16" s="112">
        <f t="shared" ref="F16:F17" si="12">770220000/1000</f>
        <v>770220</v>
      </c>
      <c r="G16" s="58">
        <f t="shared" si="2"/>
        <v>5.0430698886674987</v>
      </c>
      <c r="H16" s="58">
        <f t="shared" si="4"/>
        <v>7.8517815488829745</v>
      </c>
      <c r="I16" s="171">
        <f t="shared" si="3"/>
        <v>0.12735963090341756</v>
      </c>
      <c r="J16" s="174">
        <f t="shared" si="5"/>
        <v>6788521.840621761</v>
      </c>
      <c r="K16" s="166">
        <f t="shared" si="6"/>
        <v>881.37439181295747</v>
      </c>
      <c r="L16" s="166">
        <f t="shared" si="7"/>
        <v>0.11345916210964942</v>
      </c>
      <c r="M16" s="166">
        <f t="shared" si="8"/>
        <v>2.9489999999999972</v>
      </c>
      <c r="N16" s="168">
        <f t="shared" si="9"/>
        <v>7079563.435650805</v>
      </c>
      <c r="O16" s="169">
        <f t="shared" si="10"/>
        <v>6233943.5747018438</v>
      </c>
      <c r="P16" s="177">
        <f t="shared" si="11"/>
        <v>12.25151722902241</v>
      </c>
    </row>
    <row r="17" spans="1:16">
      <c r="A17" s="114">
        <v>44713</v>
      </c>
      <c r="B17" s="110">
        <v>5.3</v>
      </c>
      <c r="C17" s="89">
        <v>1.2</v>
      </c>
      <c r="D17" s="108">
        <f t="shared" si="0"/>
        <v>122613133.90754719</v>
      </c>
      <c r="E17" s="51">
        <v>6498496.0971000008</v>
      </c>
      <c r="F17" s="112">
        <f t="shared" si="12"/>
        <v>770220</v>
      </c>
      <c r="G17" s="58">
        <f t="shared" si="2"/>
        <v>5.3103525927668755</v>
      </c>
      <c r="H17" s="58">
        <f t="shared" si="4"/>
        <v>8.437194693853705</v>
      </c>
      <c r="I17" s="171">
        <f t="shared" si="3"/>
        <v>0.11852280719899425</v>
      </c>
      <c r="J17" s="174">
        <f t="shared" si="5"/>
        <v>7097817.8116236087</v>
      </c>
      <c r="K17" s="166">
        <f t="shared" si="6"/>
        <v>921.5312263539779</v>
      </c>
      <c r="L17" s="166">
        <f t="shared" si="7"/>
        <v>0.10851504229069724</v>
      </c>
      <c r="M17" s="166">
        <f t="shared" si="8"/>
        <v>4.5561608000000069</v>
      </c>
      <c r="N17" s="168">
        <f t="shared" si="9"/>
        <v>7486507.8426874802</v>
      </c>
      <c r="O17" s="169">
        <f t="shared" si="10"/>
        <v>6369827.9847071804</v>
      </c>
      <c r="P17" s="177">
        <f t="shared" si="11"/>
        <v>9.22246786900525</v>
      </c>
    </row>
    <row r="18" spans="1:16">
      <c r="A18" s="114">
        <v>44743</v>
      </c>
      <c r="B18" s="109">
        <v>7.41</v>
      </c>
      <c r="C18" s="89">
        <v>0</v>
      </c>
      <c r="D18" s="108">
        <f t="shared" si="0"/>
        <v>96239318.969570309</v>
      </c>
      <c r="E18" s="51">
        <v>7131333.5356451599</v>
      </c>
      <c r="F18" s="108">
        <f>727465000/1000</f>
        <v>727465</v>
      </c>
      <c r="G18" s="58">
        <f t="shared" si="2"/>
        <v>5.7038497198909015</v>
      </c>
      <c r="H18" s="58">
        <f t="shared" si="4"/>
        <v>9.8029919455164993</v>
      </c>
      <c r="I18" s="171">
        <f t="shared" si="3"/>
        <v>0.10200967271602834</v>
      </c>
      <c r="J18" s="174">
        <f t="shared" si="5"/>
        <v>7471290.7892356198</v>
      </c>
      <c r="K18" s="166">
        <f t="shared" si="6"/>
        <v>1027.0309622092636</v>
      </c>
      <c r="L18" s="166">
        <f t="shared" si="7"/>
        <v>9.7368047974803321E-2</v>
      </c>
      <c r="M18" s="166">
        <f t="shared" si="8"/>
        <v>5.2618000000000009</v>
      </c>
      <c r="N18" s="168">
        <f t="shared" si="9"/>
        <v>7960845.4930923171</v>
      </c>
      <c r="O18" s="169">
        <f t="shared" si="10"/>
        <v>6568158.9488390228</v>
      </c>
      <c r="P18" s="177">
        <f t="shared" si="11"/>
        <v>4.7670923241946577</v>
      </c>
    </row>
    <row r="19" spans="1:16">
      <c r="A19" s="114">
        <v>44774</v>
      </c>
      <c r="B19" s="110">
        <v>6.97</v>
      </c>
      <c r="C19" s="94">
        <v>0.5</v>
      </c>
      <c r="D19" s="108">
        <f t="shared" si="0"/>
        <v>100391645.99666771</v>
      </c>
      <c r="E19" s="51">
        <v>6997297.7259677397</v>
      </c>
      <c r="F19" s="108">
        <f t="shared" ref="F19:F20" si="13">727465000/1000</f>
        <v>727465</v>
      </c>
      <c r="G19" s="58">
        <f t="shared" si="2"/>
        <v>6.1014080453672976</v>
      </c>
      <c r="H19" s="58">
        <f t="shared" si="4"/>
        <v>9.6187414184431415</v>
      </c>
      <c r="I19" s="171">
        <f t="shared" si="3"/>
        <v>0.10396370548880571</v>
      </c>
      <c r="J19" s="174">
        <f t="shared" si="5"/>
        <v>7875276.0563919889</v>
      </c>
      <c r="K19" s="166">
        <f t="shared" si="6"/>
        <v>1082.5642548290282</v>
      </c>
      <c r="L19" s="166">
        <f t="shared" si="7"/>
        <v>9.2373269811862793E-2</v>
      </c>
      <c r="M19" s="166">
        <f t="shared" si="8"/>
        <v>5.407168300000011</v>
      </c>
      <c r="N19" s="168">
        <f t="shared" si="9"/>
        <v>8481142.6152795702</v>
      </c>
      <c r="O19" s="169">
        <f t="shared" si="10"/>
        <v>6775273.3880612953</v>
      </c>
      <c r="P19" s="177">
        <f t="shared" si="11"/>
        <v>12.547391361753485</v>
      </c>
    </row>
    <row r="20" spans="1:16">
      <c r="A20" s="114">
        <v>44805</v>
      </c>
      <c r="B20" s="109">
        <v>6.17</v>
      </c>
      <c r="C20" s="95">
        <v>-0.1</v>
      </c>
      <c r="D20" s="108">
        <f t="shared" si="0"/>
        <v>114793294.61210155</v>
      </c>
      <c r="E20" s="51">
        <v>7082746.2775666667</v>
      </c>
      <c r="F20" s="108">
        <f t="shared" si="13"/>
        <v>727465</v>
      </c>
      <c r="G20" s="58">
        <f t="shared" si="2"/>
        <v>6.4778649217664608</v>
      </c>
      <c r="H20" s="58">
        <f t="shared" si="4"/>
        <v>9.7362021232178417</v>
      </c>
      <c r="I20" s="171">
        <f t="shared" si="3"/>
        <v>0.1027094535779314</v>
      </c>
      <c r="J20" s="174">
        <f t="shared" si="5"/>
        <v>8184943.6246149288</v>
      </c>
      <c r="K20" s="166">
        <f t="shared" si="6"/>
        <v>1125.1322915349781</v>
      </c>
      <c r="L20" s="166">
        <f t="shared" si="7"/>
        <v>8.8878437453406955E-2</v>
      </c>
      <c r="M20" s="166">
        <f t="shared" si="8"/>
        <v>3.932148740000009</v>
      </c>
      <c r="N20" s="168">
        <f t="shared" si="9"/>
        <v>8903687.5617077015</v>
      </c>
      <c r="O20" s="169">
        <f t="shared" si="10"/>
        <v>6899360.4279592158</v>
      </c>
      <c r="P20" s="177">
        <f t="shared" si="11"/>
        <v>15.56172286644342</v>
      </c>
    </row>
    <row r="21" spans="1:16">
      <c r="A21" s="114">
        <v>44835</v>
      </c>
      <c r="B21" s="110">
        <v>6.35</v>
      </c>
      <c r="C21" s="94">
        <v>-1</v>
      </c>
      <c r="D21" s="108">
        <f t="shared" si="0"/>
        <v>115173343.68554738</v>
      </c>
      <c r="E21" s="51">
        <v>7313507.3240322582</v>
      </c>
      <c r="F21" s="112">
        <f>711199000/1000</f>
        <v>711199</v>
      </c>
      <c r="G21" s="58">
        <f t="shared" si="2"/>
        <v>6.8892093442986306</v>
      </c>
      <c r="H21" s="58">
        <f t="shared" si="4"/>
        <v>10.283348716789897</v>
      </c>
      <c r="I21" s="171">
        <f t="shared" si="3"/>
        <v>9.7244587102961258E-2</v>
      </c>
      <c r="J21" s="174">
        <f t="shared" si="5"/>
        <v>8436757.2621497102</v>
      </c>
      <c r="K21" s="166">
        <f t="shared" si="6"/>
        <v>1186.2723741385619</v>
      </c>
      <c r="L21" s="166">
        <f t="shared" si="7"/>
        <v>8.4297672423348166E-2</v>
      </c>
      <c r="M21" s="166">
        <f t="shared" si="8"/>
        <v>3.0765469999999939</v>
      </c>
      <c r="N21" s="168">
        <f t="shared" si="9"/>
        <v>9261888.4326014873</v>
      </c>
      <c r="O21" s="169">
        <f t="shared" si="10"/>
        <v>6980575.2833264768</v>
      </c>
      <c r="P21" s="177">
        <f t="shared" si="11"/>
        <v>15.358567214754013</v>
      </c>
    </row>
    <row r="22" spans="1:16">
      <c r="A22" s="114">
        <v>44866</v>
      </c>
      <c r="B22" s="109">
        <v>4.92</v>
      </c>
      <c r="C22" s="95">
        <v>-0.7</v>
      </c>
      <c r="D22" s="108">
        <f t="shared" si="0"/>
        <v>154317384.77574524</v>
      </c>
      <c r="E22" s="51">
        <v>7592415.3309666663</v>
      </c>
      <c r="F22" s="112">
        <f t="shared" ref="F22:F23" si="14">711199000/1000</f>
        <v>711199</v>
      </c>
      <c r="G22" s="58">
        <f t="shared" si="2"/>
        <v>7.2281584440381224</v>
      </c>
      <c r="H22" s="58">
        <f t="shared" si="4"/>
        <v>10.675514632285291</v>
      </c>
      <c r="I22" s="171">
        <f t="shared" si="3"/>
        <v>9.3672299129801448E-2</v>
      </c>
      <c r="J22" s="174">
        <f t="shared" si="5"/>
        <v>8608012.7772595733</v>
      </c>
      <c r="K22" s="166">
        <f t="shared" si="6"/>
        <v>1210.3522048343114</v>
      </c>
      <c r="L22" s="166">
        <f t="shared" si="7"/>
        <v>8.2620579035248096E-2</v>
      </c>
      <c r="M22" s="166">
        <f t="shared" si="8"/>
        <v>2.0298736799999708</v>
      </c>
      <c r="N22" s="168">
        <f t="shared" si="9"/>
        <v>9539586.2701261993</v>
      </c>
      <c r="O22" s="169">
        <f t="shared" si="10"/>
        <v>6986763.1333117075</v>
      </c>
      <c r="P22" s="177">
        <f t="shared" si="11"/>
        <v>13.376473783654314</v>
      </c>
    </row>
    <row r="23" spans="1:16">
      <c r="A23" s="114">
        <v>44896</v>
      </c>
      <c r="B23" s="110">
        <v>5.12</v>
      </c>
      <c r="C23" s="94">
        <v>-1</v>
      </c>
      <c r="D23" s="108">
        <f t="shared" si="0"/>
        <v>170689279.40587196</v>
      </c>
      <c r="E23" s="51">
        <v>8739291.1055806447</v>
      </c>
      <c r="F23" s="112">
        <f t="shared" si="14"/>
        <v>711199</v>
      </c>
      <c r="G23" s="58">
        <f t="shared" si="2"/>
        <v>7.5982401563728734</v>
      </c>
      <c r="H23" s="58">
        <f t="shared" si="4"/>
        <v>12.28810938370364</v>
      </c>
      <c r="I23" s="171">
        <f t="shared" si="3"/>
        <v>8.1379483920137413E-2</v>
      </c>
      <c r="J23" s="174">
        <f t="shared" si="5"/>
        <v>8770222.72094707</v>
      </c>
      <c r="K23" s="166">
        <f t="shared" si="6"/>
        <v>1233.16015924475</v>
      </c>
      <c r="L23" s="166">
        <f t="shared" si="7"/>
        <v>8.1092467389836109E-2</v>
      </c>
      <c r="M23" s="166">
        <f t="shared" si="8"/>
        <v>1.8844063999999949</v>
      </c>
      <c r="N23" s="168">
        <f t="shared" si="9"/>
        <v>9808600.1608096715</v>
      </c>
      <c r="O23" s="169">
        <f t="shared" si="10"/>
        <v>6987249.6356022051</v>
      </c>
      <c r="P23" s="177">
        <f t="shared" si="11"/>
        <v>0.35393735021223155</v>
      </c>
    </row>
    <row r="24" spans="1:16">
      <c r="A24" s="114">
        <v>44927</v>
      </c>
      <c r="B24" s="109">
        <v>6.03</v>
      </c>
      <c r="C24" s="89">
        <v>2.4</v>
      </c>
      <c r="D24" s="108">
        <f t="shared" si="0"/>
        <v>151992446.96677899</v>
      </c>
      <c r="E24" s="51">
        <v>9165144.5520967729</v>
      </c>
      <c r="F24" s="108">
        <f>701720000/1000</f>
        <v>701720</v>
      </c>
      <c r="G24" s="58">
        <f t="shared" si="2"/>
        <v>8.056414037802158</v>
      </c>
      <c r="H24" s="58">
        <f t="shared" si="4"/>
        <v>13.060970974315643</v>
      </c>
      <c r="I24" s="171">
        <f t="shared" si="3"/>
        <v>7.6563986090046193E-2</v>
      </c>
      <c r="J24" s="174">
        <f t="shared" si="5"/>
        <v>9353671.2733309679</v>
      </c>
      <c r="K24" s="166">
        <f t="shared" si="6"/>
        <v>1332.9634716597743</v>
      </c>
      <c r="L24" s="166">
        <f t="shared" si="7"/>
        <v>7.5020810491890216E-2</v>
      </c>
      <c r="M24" s="166">
        <f t="shared" si="8"/>
        <v>6.6526081599999882</v>
      </c>
      <c r="N24" s="168">
        <f t="shared" si="9"/>
        <v>10592584.638095869</v>
      </c>
      <c r="O24" s="169">
        <f t="shared" si="10"/>
        <v>7265861.8883168679</v>
      </c>
      <c r="P24" s="177">
        <f t="shared" si="11"/>
        <v>2.0569967026986431</v>
      </c>
    </row>
    <row r="25" spans="1:16">
      <c r="A25" s="114">
        <v>44958</v>
      </c>
      <c r="B25" s="110">
        <v>6.63</v>
      </c>
      <c r="C25" s="89">
        <v>-0.4</v>
      </c>
      <c r="D25" s="108">
        <f t="shared" si="0"/>
        <v>138636167.29207066</v>
      </c>
      <c r="E25" s="51">
        <v>9191577.8914642856</v>
      </c>
      <c r="F25" s="108">
        <f t="shared" ref="F25:F26" si="15">701720000/1000</f>
        <v>701720</v>
      </c>
      <c r="G25" s="58">
        <f t="shared" si="2"/>
        <v>8.5905542885084412</v>
      </c>
      <c r="H25" s="58">
        <f t="shared" si="4"/>
        <v>13.098640328712714</v>
      </c>
      <c r="I25" s="171">
        <f t="shared" si="3"/>
        <v>7.6343801715660686E-2</v>
      </c>
      <c r="J25" s="174">
        <f t="shared" si="5"/>
        <v>9731336.1747229733</v>
      </c>
      <c r="K25" s="166">
        <f t="shared" si="6"/>
        <v>1386.7833572825305</v>
      </c>
      <c r="L25" s="166">
        <f t="shared" si="7"/>
        <v>7.2109316480372873E-2</v>
      </c>
      <c r="M25" s="166">
        <f t="shared" si="8"/>
        <v>4.0376114400000063</v>
      </c>
      <c r="N25" s="168">
        <f t="shared" si="9"/>
        <v>11128251.033111501</v>
      </c>
      <c r="O25" s="169">
        <f t="shared" si="10"/>
        <v>7410909.3242868781</v>
      </c>
      <c r="P25" s="177">
        <f t="shared" si="11"/>
        <v>5.8723136509557472</v>
      </c>
    </row>
    <row r="26" spans="1:16">
      <c r="A26" s="114">
        <v>44986</v>
      </c>
      <c r="B26" s="109">
        <v>7.68</v>
      </c>
      <c r="C26" s="89">
        <v>0.7</v>
      </c>
      <c r="D26" s="108">
        <f t="shared" si="0"/>
        <v>120592473.54922715</v>
      </c>
      <c r="E26" s="51">
        <v>9261501.9685806446</v>
      </c>
      <c r="F26" s="108">
        <f t="shared" si="15"/>
        <v>701720</v>
      </c>
      <c r="G26" s="58">
        <f t="shared" si="2"/>
        <v>9.250308857865889</v>
      </c>
      <c r="H26" s="58">
        <f t="shared" si="4"/>
        <v>13.198287021291462</v>
      </c>
      <c r="I26" s="171">
        <f t="shared" si="3"/>
        <v>7.5767408178561438E-2</v>
      </c>
      <c r="J26" s="174">
        <f t="shared" si="5"/>
        <v>10348201.028358402</v>
      </c>
      <c r="K26" s="166">
        <f t="shared" si="6"/>
        <v>1474.6909063954856</v>
      </c>
      <c r="L26" s="166">
        <f t="shared" si="7"/>
        <v>6.7810820264990357E-2</v>
      </c>
      <c r="M26" s="166">
        <f t="shared" si="8"/>
        <v>6.338953280000001</v>
      </c>
      <c r="N26" s="168">
        <f t="shared" si="9"/>
        <v>11962721.507654689</v>
      </c>
      <c r="O26" s="169">
        <f t="shared" si="10"/>
        <v>7709127.9201624766</v>
      </c>
      <c r="P26" s="177">
        <f t="shared" si="11"/>
        <v>11.733507842079499</v>
      </c>
    </row>
    <row r="27" spans="1:16">
      <c r="A27" s="114">
        <v>45017</v>
      </c>
      <c r="B27" s="110">
        <v>8.4</v>
      </c>
      <c r="C27" s="89">
        <v>-4.8</v>
      </c>
      <c r="D27" s="108">
        <f t="shared" si="0"/>
        <v>117746026.64523812</v>
      </c>
      <c r="E27" s="51">
        <v>9890666.2382000014</v>
      </c>
      <c r="F27" s="112">
        <f>734207000/1000</f>
        <v>734207</v>
      </c>
      <c r="G27" s="58">
        <f t="shared" si="2"/>
        <v>10.027334801926624</v>
      </c>
      <c r="H27" s="58">
        <f t="shared" si="4"/>
        <v>13.471223017759298</v>
      </c>
      <c r="I27" s="171">
        <f t="shared" si="3"/>
        <v>7.4232309767397225E-2</v>
      </c>
      <c r="J27" s="174">
        <f t="shared" si="5"/>
        <v>10412665.188057365</v>
      </c>
      <c r="K27" s="166">
        <f t="shared" si="6"/>
        <v>1418.2192744086294</v>
      </c>
      <c r="L27" s="166">
        <f t="shared" si="7"/>
        <v>7.0510958216738459E-2</v>
      </c>
      <c r="M27" s="166">
        <f t="shared" si="8"/>
        <v>0.62295040000000379</v>
      </c>
      <c r="N27" s="168">
        <f t="shared" si="9"/>
        <v>12098450.354476998</v>
      </c>
      <c r="O27" s="169">
        <f t="shared" si="10"/>
        <v>7675858.0376720838</v>
      </c>
      <c r="P27" s="177">
        <f t="shared" si="11"/>
        <v>5.2776924959947076</v>
      </c>
    </row>
    <row r="28" spans="1:16">
      <c r="A28" s="114">
        <v>45047</v>
      </c>
      <c r="B28" s="109">
        <v>7.77</v>
      </c>
      <c r="C28" s="89">
        <v>-6.6</v>
      </c>
      <c r="D28" s="108">
        <f t="shared" si="0"/>
        <v>134401645.94760656</v>
      </c>
      <c r="E28" s="51">
        <v>10443007.89012903</v>
      </c>
      <c r="F28" s="112">
        <f t="shared" ref="F28:F29" si="16">734207000/1000</f>
        <v>734207</v>
      </c>
      <c r="G28" s="58">
        <f t="shared" si="2"/>
        <v>10.806458716036325</v>
      </c>
      <c r="H28" s="58">
        <f t="shared" si="4"/>
        <v>14.223519920307256</v>
      </c>
      <c r="I28" s="171">
        <f t="shared" si="3"/>
        <v>7.0306084963699902E-2</v>
      </c>
      <c r="J28" s="174">
        <f t="shared" si="5"/>
        <v>10198891.093378576</v>
      </c>
      <c r="K28" s="166">
        <f t="shared" si="6"/>
        <v>1389.102949628453</v>
      </c>
      <c r="L28" s="166">
        <f t="shared" si="7"/>
        <v>7.198890480129444E-2</v>
      </c>
      <c r="M28" s="166">
        <f t="shared" si="8"/>
        <v>-2.0530199600000012</v>
      </c>
      <c r="N28" s="168">
        <f t="shared" si="9"/>
        <v>11885792.24370373</v>
      </c>
      <c r="O28" s="169">
        <f t="shared" si="10"/>
        <v>7469663.2685679095</v>
      </c>
      <c r="P28" s="177">
        <f t="shared" si="11"/>
        <v>-2.3376100000958444</v>
      </c>
    </row>
    <row r="29" spans="1:16">
      <c r="A29" s="114">
        <v>45078</v>
      </c>
      <c r="B29" s="110">
        <v>5.95</v>
      </c>
      <c r="C29" s="89">
        <v>-5.5</v>
      </c>
      <c r="D29" s="108">
        <f t="shared" si="0"/>
        <v>187981897.3803921</v>
      </c>
      <c r="E29" s="51">
        <v>11184922.894133329</v>
      </c>
      <c r="F29" s="112">
        <f t="shared" si="16"/>
        <v>734207</v>
      </c>
      <c r="G29" s="58">
        <f t="shared" si="2"/>
        <v>11.449443009640486</v>
      </c>
      <c r="H29" s="58">
        <f t="shared" si="4"/>
        <v>15.234018327438079</v>
      </c>
      <c r="I29" s="171">
        <f t="shared" si="3"/>
        <v>6.564256248785616E-2</v>
      </c>
      <c r="J29" s="174">
        <f t="shared" si="5"/>
        <v>9948939.1691903714</v>
      </c>
      <c r="K29" s="166">
        <f t="shared" si="6"/>
        <v>1355.0591548691814</v>
      </c>
      <c r="L29" s="166">
        <f t="shared" si="7"/>
        <v>7.3797516249136802E-2</v>
      </c>
      <c r="M29" s="166">
        <f t="shared" si="8"/>
        <v>-2.4507754999999984</v>
      </c>
      <c r="N29" s="168">
        <f t="shared" si="9"/>
        <v>11644240.497098846</v>
      </c>
      <c r="O29" s="169">
        <f t="shared" si="10"/>
        <v>7221465.4804913653</v>
      </c>
      <c r="P29" s="177">
        <f t="shared" si="11"/>
        <v>-11.050444751758201</v>
      </c>
    </row>
    <row r="30" spans="1:16">
      <c r="A30" s="114">
        <v>45108</v>
      </c>
      <c r="B30" s="109">
        <v>6.34</v>
      </c>
      <c r="C30" s="89">
        <v>-1.5</v>
      </c>
      <c r="D30" s="108">
        <f t="shared" si="0"/>
        <v>189538132.59997967</v>
      </c>
      <c r="E30" s="51">
        <v>12016717.606838711</v>
      </c>
      <c r="F30" s="108">
        <f>721388000/1000</f>
        <v>721388</v>
      </c>
      <c r="G30" s="58">
        <f t="shared" si="2"/>
        <v>12.175337696451692</v>
      </c>
      <c r="H30" s="58">
        <f t="shared" si="4"/>
        <v>16.657773080282333</v>
      </c>
      <c r="I30" s="171">
        <f t="shared" si="3"/>
        <v>6.0032034004814952E-2</v>
      </c>
      <c r="J30" s="174">
        <f t="shared" si="5"/>
        <v>10197034.094341299</v>
      </c>
      <c r="K30" s="166">
        <f t="shared" si="6"/>
        <v>1413.5297640578021</v>
      </c>
      <c r="L30" s="166">
        <f t="shared" si="7"/>
        <v>7.0744884573870764E-2</v>
      </c>
      <c r="M30" s="166">
        <f t="shared" si="8"/>
        <v>2.4936821999999896</v>
      </c>
      <c r="N30" s="168">
        <f t="shared" si="9"/>
        <v>12038004.602327725</v>
      </c>
      <c r="O30" s="169">
        <f t="shared" si="10"/>
        <v>7272610.3254366061</v>
      </c>
      <c r="P30" s="177">
        <f t="shared" si="11"/>
        <v>-15.142933137263961</v>
      </c>
    </row>
    <row r="31" spans="1:16">
      <c r="A31" s="114">
        <v>45139</v>
      </c>
      <c r="B31" s="110">
        <v>12.44</v>
      </c>
      <c r="C31" s="89">
        <v>0.3</v>
      </c>
      <c r="D31" s="108">
        <f t="shared" si="0"/>
        <v>101584081.17441134</v>
      </c>
      <c r="E31" s="51">
        <v>12637059.698096771</v>
      </c>
      <c r="F31" s="108">
        <f t="shared" ref="F31:F32" si="17">721388000/1000</f>
        <v>721388</v>
      </c>
      <c r="G31" s="58">
        <f t="shared" si="2"/>
        <v>13.689949705890283</v>
      </c>
      <c r="H31" s="58">
        <f t="shared" si="4"/>
        <v>17.517701567113356</v>
      </c>
      <c r="I31" s="171">
        <f t="shared" si="3"/>
        <v>5.7085114515099275E-2</v>
      </c>
      <c r="J31" s="174">
        <f t="shared" si="5"/>
        <v>11273313.805932591</v>
      </c>
      <c r="K31" s="166">
        <f t="shared" si="6"/>
        <v>1562.7254412233904</v>
      </c>
      <c r="L31" s="166">
        <f t="shared" si="7"/>
        <v>6.3990767259611725E-2</v>
      </c>
      <c r="M31" s="166">
        <f t="shared" si="8"/>
        <v>10.554830960000011</v>
      </c>
      <c r="N31" s="168">
        <f t="shared" si="9"/>
        <v>13448417.688492713</v>
      </c>
      <c r="O31" s="169">
        <f t="shared" si="10"/>
        <v>7871425.749269478</v>
      </c>
      <c r="P31" s="177">
        <f t="shared" si="11"/>
        <v>-10.791639232103728</v>
      </c>
    </row>
    <row r="32" spans="1:16">
      <c r="A32" s="114">
        <v>45170</v>
      </c>
      <c r="B32" s="109">
        <v>12.75</v>
      </c>
      <c r="C32" s="89">
        <v>-0.5</v>
      </c>
      <c r="D32" s="108">
        <f t="shared" si="0"/>
        <v>104574701.40026142</v>
      </c>
      <c r="E32" s="51">
        <v>13333274.428533331</v>
      </c>
      <c r="F32" s="108">
        <f t="shared" si="17"/>
        <v>721388</v>
      </c>
      <c r="G32" s="58">
        <f t="shared" si="2"/>
        <v>15.435418293391294</v>
      </c>
      <c r="H32" s="58">
        <f t="shared" si="4"/>
        <v>18.482805963688516</v>
      </c>
      <c r="I32" s="171">
        <f t="shared" si="3"/>
        <v>5.4104339025395215E-2</v>
      </c>
      <c r="J32" s="174">
        <f t="shared" si="5"/>
        <v>12387937.625370957</v>
      </c>
      <c r="K32" s="166">
        <f t="shared" si="6"/>
        <v>1717.2364421602463</v>
      </c>
      <c r="L32" s="166">
        <f t="shared" si="7"/>
        <v>5.823309914981898E-2</v>
      </c>
      <c r="M32" s="166">
        <f t="shared" si="8"/>
        <v>9.8872774999999962</v>
      </c>
      <c r="N32" s="168">
        <f t="shared" si="9"/>
        <v>14921391.274131753</v>
      </c>
      <c r="O32" s="169">
        <f t="shared" si="10"/>
        <v>8481691.0904697422</v>
      </c>
      <c r="P32" s="177">
        <f t="shared" si="11"/>
        <v>-7.0900573465985524</v>
      </c>
    </row>
    <row r="33" spans="1:16">
      <c r="A33" s="114">
        <v>45200</v>
      </c>
      <c r="B33" s="110">
        <v>8.3000000000000007</v>
      </c>
      <c r="C33" s="89">
        <v>0.6</v>
      </c>
      <c r="D33" s="108">
        <f t="shared" si="0"/>
        <v>180638542.24251842</v>
      </c>
      <c r="E33" s="51">
        <v>14992999.00612903</v>
      </c>
      <c r="F33" s="112">
        <f>700911000/1000</f>
        <v>700911</v>
      </c>
      <c r="G33" s="58">
        <f t="shared" si="2"/>
        <v>16.716558011742769</v>
      </c>
      <c r="H33" s="58">
        <f t="shared" si="4"/>
        <v>21.390731499618397</v>
      </c>
      <c r="I33" s="171">
        <f t="shared" si="3"/>
        <v>4.6749219399899421E-2</v>
      </c>
      <c r="J33" s="174">
        <f t="shared" si="5"/>
        <v>13234589.289858663</v>
      </c>
      <c r="K33" s="166">
        <f t="shared" si="6"/>
        <v>1888.1982576758908</v>
      </c>
      <c r="L33" s="166">
        <f t="shared" si="7"/>
        <v>5.296054034235053E-2</v>
      </c>
      <c r="M33" s="166">
        <f t="shared" si="8"/>
        <v>6.8344843999999831</v>
      </c>
      <c r="N33" s="168">
        <f t="shared" si="9"/>
        <v>16113455.61257902</v>
      </c>
      <c r="O33" s="169">
        <f t="shared" si="10"/>
        <v>8865863.1137414556</v>
      </c>
      <c r="P33" s="177">
        <f t="shared" si="11"/>
        <v>-11.728205381401956</v>
      </c>
    </row>
    <row r="34" spans="1:16">
      <c r="A34" s="114">
        <v>45231</v>
      </c>
      <c r="B34" s="109">
        <v>12.81</v>
      </c>
      <c r="C34" s="89">
        <v>-1.1000000000000001</v>
      </c>
      <c r="D34" s="108">
        <f t="shared" si="0"/>
        <v>121735844.33931819</v>
      </c>
      <c r="E34" s="51">
        <v>15594361.659866661</v>
      </c>
      <c r="F34" s="112">
        <f t="shared" ref="F34:F35" si="18">700911000/1000</f>
        <v>700911</v>
      </c>
      <c r="G34" s="58">
        <f t="shared" si="2"/>
        <v>18.857949093047015</v>
      </c>
      <c r="H34" s="58">
        <f t="shared" si="4"/>
        <v>22.248704414492941</v>
      </c>
      <c r="I34" s="171">
        <f t="shared" si="3"/>
        <v>4.4946437391140584E-2</v>
      </c>
      <c r="J34" s="174">
        <f t="shared" si="5"/>
        <v>14454302.143702352</v>
      </c>
      <c r="K34" s="166">
        <f t="shared" si="6"/>
        <v>2062.2164787972156</v>
      </c>
      <c r="L34" s="166">
        <f t="shared" si="7"/>
        <v>4.8491514362413023E-2</v>
      </c>
      <c r="M34" s="166">
        <f t="shared" si="8"/>
        <v>9.2160990199999979</v>
      </c>
      <c r="N34" s="168">
        <f t="shared" si="9"/>
        <v>17758268.647118926</v>
      </c>
      <c r="O34" s="169">
        <f t="shared" si="10"/>
        <v>9506461.9534497391</v>
      </c>
      <c r="P34" s="177">
        <f t="shared" si="11"/>
        <v>-7.3107161487625554</v>
      </c>
    </row>
    <row r="35" spans="1:16">
      <c r="A35" s="114">
        <v>45261</v>
      </c>
      <c r="B35" s="110">
        <v>25.47</v>
      </c>
      <c r="C35" s="89">
        <v>-4.7</v>
      </c>
      <c r="D35" s="108">
        <f t="shared" si="0"/>
        <v>73512507.34184429</v>
      </c>
      <c r="E35" s="51">
        <v>18723635.61996774</v>
      </c>
      <c r="F35" s="112">
        <f t="shared" si="18"/>
        <v>700911</v>
      </c>
      <c r="G35" s="58">
        <f t="shared" si="2"/>
        <v>23.661068727046089</v>
      </c>
      <c r="H35" s="58">
        <f t="shared" si="4"/>
        <v>26.713285452743271</v>
      </c>
      <c r="I35" s="171">
        <f t="shared" si="3"/>
        <v>3.7434556740279464E-2</v>
      </c>
      <c r="J35" s="174">
        <f t="shared" si="5"/>
        <v>16854227.545332901</v>
      </c>
      <c r="K35" s="166">
        <f t="shared" si="6"/>
        <v>2404.6173544619646</v>
      </c>
      <c r="L35" s="166">
        <f t="shared" si="7"/>
        <v>4.1586658190934954E-2</v>
      </c>
      <c r="M35" s="166">
        <f t="shared" si="8"/>
        <v>16.603536979999973</v>
      </c>
      <c r="N35" s="168">
        <f t="shared" si="9"/>
        <v>20814388.026364602</v>
      </c>
      <c r="O35" s="169">
        <f t="shared" si="10"/>
        <v>10966285.111203616</v>
      </c>
      <c r="P35" s="177">
        <f t="shared" si="11"/>
        <v>-9.984215205732891</v>
      </c>
    </row>
    <row r="36" spans="1:16">
      <c r="A36" s="114">
        <v>45292</v>
      </c>
      <c r="B36" s="111">
        <v>20.61</v>
      </c>
      <c r="C36" s="97">
        <v>0.7</v>
      </c>
      <c r="D36" s="108">
        <f t="shared" si="0"/>
        <v>93893895.057050273</v>
      </c>
      <c r="E36" s="51">
        <v>19351531.77125806</v>
      </c>
      <c r="F36" s="108">
        <f>668673000/1000</f>
        <v>668673</v>
      </c>
      <c r="G36" s="58">
        <f t="shared" si="2"/>
        <v>28.537614991690287</v>
      </c>
      <c r="H36" s="58">
        <f t="shared" si="4"/>
        <v>28.940202118611129</v>
      </c>
      <c r="I36" s="171">
        <f t="shared" si="3"/>
        <v>3.4554008845602044E-2</v>
      </c>
      <c r="J36" s="174">
        <f t="shared" si="5"/>
        <v>20074720.377052434</v>
      </c>
      <c r="K36" s="166">
        <f t="shared" si="6"/>
        <v>3002.1730168636141</v>
      </c>
      <c r="L36" s="166">
        <f t="shared" si="7"/>
        <v>3.3309206177754049E-2</v>
      </c>
      <c r="M36" s="166">
        <f t="shared" si="8"/>
        <v>19.107923059999969</v>
      </c>
      <c r="N36" s="168">
        <f t="shared" si="9"/>
        <v>25061957.869555105</v>
      </c>
      <c r="O36" s="169">
        <f t="shared" si="10"/>
        <v>12777372.501504196</v>
      </c>
      <c r="P36" s="177">
        <f t="shared" si="11"/>
        <v>3.7371129807330949</v>
      </c>
    </row>
    <row r="37" spans="1:16">
      <c r="A37" s="114">
        <v>45323</v>
      </c>
      <c r="B37" s="111">
        <v>4.03</v>
      </c>
      <c r="C37" s="97">
        <v>0.2</v>
      </c>
      <c r="D37" s="108">
        <f t="shared" si="0"/>
        <v>495293174.50671679</v>
      </c>
      <c r="E37" s="51">
        <v>19960314.932620689</v>
      </c>
      <c r="F37" s="108">
        <f t="shared" ref="F37:F38" si="19">668673000/1000</f>
        <v>668673</v>
      </c>
      <c r="G37" s="58">
        <f t="shared" si="2"/>
        <v>29.687680875855406</v>
      </c>
      <c r="H37" s="58">
        <f t="shared" si="4"/>
        <v>29.85063690715894</v>
      </c>
      <c r="I37" s="171">
        <f t="shared" si="3"/>
        <v>3.3500122731390518E-2</v>
      </c>
      <c r="J37" s="174">
        <f t="shared" si="5"/>
        <v>20511082.301430073</v>
      </c>
      <c r="K37" s="166">
        <f t="shared" si="6"/>
        <v>3067.4309118851925</v>
      </c>
      <c r="L37" s="166">
        <f t="shared" si="7"/>
        <v>3.2600571250858801E-2</v>
      </c>
      <c r="M37" s="166">
        <f t="shared" si="8"/>
        <v>2.1736886799999842</v>
      </c>
      <c r="N37" s="168">
        <f t="shared" si="9"/>
        <v>25873182.188518748</v>
      </c>
      <c r="O37" s="169">
        <f t="shared" si="10"/>
        <v>12783577.684242029</v>
      </c>
      <c r="P37" s="177">
        <f t="shared" si="11"/>
        <v>2.7593120182150872</v>
      </c>
    </row>
    <row r="38" spans="1:16">
      <c r="A38" s="114">
        <v>45352</v>
      </c>
      <c r="B38" s="111">
        <v>11.01</v>
      </c>
      <c r="C38" s="97">
        <v>-1.3</v>
      </c>
      <c r="D38" s="108">
        <f t="shared" si="0"/>
        <v>194379167.22539628</v>
      </c>
      <c r="E38" s="51">
        <v>21401146.311516128</v>
      </c>
      <c r="F38" s="108">
        <f t="shared" si="19"/>
        <v>668673</v>
      </c>
      <c r="G38" s="58">
        <f t="shared" si="2"/>
        <v>32.956294540287089</v>
      </c>
      <c r="H38" s="58">
        <f t="shared" si="4"/>
        <v>32.005399218326637</v>
      </c>
      <c r="I38" s="171">
        <f t="shared" si="3"/>
        <v>3.1244728215337778E-2</v>
      </c>
      <c r="J38" s="174">
        <f t="shared" si="5"/>
        <v>21994875.70814725</v>
      </c>
      <c r="K38" s="166">
        <f t="shared" si="6"/>
        <v>3289.332111233331</v>
      </c>
      <c r="L38" s="166">
        <f t="shared" si="7"/>
        <v>3.0401308417137948E-2</v>
      </c>
      <c r="M38" s="166">
        <f t="shared" si="8"/>
        <v>7.2341058600000094</v>
      </c>
      <c r="N38" s="168">
        <f t="shared" si="9"/>
        <v>27991021.570908722</v>
      </c>
      <c r="O38" s="169">
        <f t="shared" si="10"/>
        <v>13464013.734821696</v>
      </c>
      <c r="P38" s="177">
        <f t="shared" si="11"/>
        <v>2.7742878254686345</v>
      </c>
    </row>
    <row r="39" spans="1:16">
      <c r="A39" s="114">
        <v>45383</v>
      </c>
      <c r="B39" s="111">
        <v>8.83</v>
      </c>
      <c r="C39" s="97">
        <v>-1.5</v>
      </c>
      <c r="D39" s="108">
        <f t="shared" si="0"/>
        <v>252221063.93242741</v>
      </c>
      <c r="E39" s="51">
        <v>22271119.945233341</v>
      </c>
      <c r="F39" s="112">
        <f>720760000/1000</f>
        <v>720760</v>
      </c>
      <c r="G39" s="58">
        <f t="shared" si="2"/>
        <v>35.86633534819444</v>
      </c>
      <c r="H39" s="58">
        <f t="shared" si="4"/>
        <v>30.899494901539128</v>
      </c>
      <c r="I39" s="171">
        <f t="shared" si="3"/>
        <v>3.2362988559731742E-2</v>
      </c>
      <c r="J39" s="174">
        <f t="shared" si="5"/>
        <v>23071221.102832653</v>
      </c>
      <c r="K39" s="166">
        <f t="shared" si="6"/>
        <v>3200.9574758355975</v>
      </c>
      <c r="L39" s="166">
        <f t="shared" si="7"/>
        <v>3.1240652446935548E-2</v>
      </c>
      <c r="M39" s="166">
        <f t="shared" si="8"/>
        <v>4.893618899999999</v>
      </c>
      <c r="N39" s="168">
        <f t="shared" si="9"/>
        <v>29615158.443082213</v>
      </c>
      <c r="O39" s="169">
        <f t="shared" si="10"/>
        <v>13876869.297229216</v>
      </c>
      <c r="P39" s="177">
        <f t="shared" si="11"/>
        <v>3.5925501706552296</v>
      </c>
    </row>
    <row r="40" spans="1:16">
      <c r="A40" s="114">
        <v>45413</v>
      </c>
      <c r="B40" s="111">
        <v>4.18</v>
      </c>
      <c r="C40" s="97">
        <v>0.9</v>
      </c>
      <c r="D40" s="108">
        <f t="shared" si="0"/>
        <v>606099060.39743805</v>
      </c>
      <c r="E40" s="51">
        <v>25334940.72461291</v>
      </c>
      <c r="F40" s="112">
        <f t="shared" ref="F40:F41" si="20">720760000/1000</f>
        <v>720760</v>
      </c>
      <c r="G40" s="58">
        <f t="shared" si="2"/>
        <v>37.365548165748969</v>
      </c>
      <c r="H40" s="58">
        <f t="shared" si="4"/>
        <v>35.150314563256714</v>
      </c>
      <c r="I40" s="171">
        <f t="shared" si="3"/>
        <v>2.8449247536615756E-2</v>
      </c>
      <c r="J40" s="174">
        <f t="shared" si="5"/>
        <v>23788079.555234559</v>
      </c>
      <c r="K40" s="166">
        <f t="shared" si="6"/>
        <v>3300.416165607769</v>
      </c>
      <c r="L40" s="166">
        <f t="shared" si="7"/>
        <v>3.0299209245808874E-2</v>
      </c>
      <c r="M40" s="166">
        <f t="shared" si="8"/>
        <v>3.1071543600000062</v>
      </c>
      <c r="N40" s="168">
        <f t="shared" si="9"/>
        <v>30874422.391872723</v>
      </c>
      <c r="O40" s="169">
        <f t="shared" si="10"/>
        <v>13991062.565344905</v>
      </c>
      <c r="P40" s="177">
        <f t="shared" si="11"/>
        <v>-6.1056435307763515</v>
      </c>
    </row>
    <row r="41" spans="1:16">
      <c r="A41" s="114">
        <v>45444</v>
      </c>
      <c r="B41" s="111">
        <v>4.58</v>
      </c>
      <c r="C41" s="97">
        <v>0.2</v>
      </c>
      <c r="D41" s="108">
        <f t="shared" si="0"/>
        <v>656662842.4614265</v>
      </c>
      <c r="E41" s="51">
        <v>30075158.184733331</v>
      </c>
      <c r="F41" s="112">
        <f t="shared" si="20"/>
        <v>720760</v>
      </c>
      <c r="G41" s="58">
        <f t="shared" si="2"/>
        <v>39.076890271740275</v>
      </c>
      <c r="H41" s="58">
        <f t="shared" si="4"/>
        <v>41.727007859389161</v>
      </c>
      <c r="I41" s="171">
        <f t="shared" si="3"/>
        <v>2.3965293734211187E-2</v>
      </c>
      <c r="J41" s="174">
        <f t="shared" si="5"/>
        <v>24433658.175566167</v>
      </c>
      <c r="K41" s="166">
        <f t="shared" si="6"/>
        <v>3389.9853176599931</v>
      </c>
      <c r="L41" s="166">
        <f t="shared" si="7"/>
        <v>2.9498652834587216E-2</v>
      </c>
      <c r="M41" s="166">
        <f t="shared" si="8"/>
        <v>2.7138744799999981</v>
      </c>
      <c r="N41" s="168">
        <f t="shared" si="9"/>
        <v>32042303.634993602</v>
      </c>
      <c r="O41" s="169">
        <f t="shared" si="10"/>
        <v>14071862.943987081</v>
      </c>
      <c r="P41" s="177">
        <f t="shared" si="11"/>
        <v>-18.758006107615046</v>
      </c>
    </row>
    <row r="42" spans="1:16">
      <c r="A42" s="114">
        <v>45474</v>
      </c>
      <c r="B42" s="111">
        <v>4.03</v>
      </c>
      <c r="C42" s="97">
        <v>3</v>
      </c>
      <c r="D42" s="108">
        <f t="shared" si="0"/>
        <v>834051609.47090375</v>
      </c>
      <c r="E42" s="51">
        <v>33612279.861677423</v>
      </c>
      <c r="F42" s="108">
        <f>708557000/1000</f>
        <v>708557</v>
      </c>
      <c r="G42" s="58">
        <f t="shared" si="2"/>
        <v>40.651688949691412</v>
      </c>
      <c r="H42" s="58">
        <f t="shared" si="4"/>
        <v>47.437651256959455</v>
      </c>
      <c r="I42" s="171">
        <f t="shared" si="3"/>
        <v>2.1080301690807098E-2</v>
      </c>
      <c r="J42" s="174">
        <f t="shared" si="5"/>
        <v>25731996.849005993</v>
      </c>
      <c r="K42" s="166">
        <f t="shared" si="6"/>
        <v>3631.605763404496</v>
      </c>
      <c r="L42" s="166">
        <f t="shared" si="7"/>
        <v>2.7536028554557009E-2</v>
      </c>
      <c r="M42" s="166">
        <f t="shared" si="8"/>
        <v>5.3137301999999931</v>
      </c>
      <c r="N42" s="168">
        <f t="shared" si="9"/>
        <v>34188282.192692697</v>
      </c>
      <c r="O42" s="169">
        <f t="shared" si="10"/>
        <v>14432842.477619292</v>
      </c>
      <c r="P42" s="177">
        <f t="shared" si="11"/>
        <v>-23.444654885359402</v>
      </c>
    </row>
    <row r="43" spans="1:16">
      <c r="A43" s="114">
        <v>45505</v>
      </c>
      <c r="B43" s="111">
        <v>4.17</v>
      </c>
      <c r="C43" s="97">
        <v>1</v>
      </c>
      <c r="D43" s="108">
        <f t="shared" si="0"/>
        <v>811491524.29333925</v>
      </c>
      <c r="E43" s="51">
        <v>33839196.563032247</v>
      </c>
      <c r="F43" s="108">
        <f t="shared" ref="F43:F44" si="21">708557000/1000</f>
        <v>708557</v>
      </c>
      <c r="G43" s="58">
        <f t="shared" si="2"/>
        <v>42.346864378893549</v>
      </c>
      <c r="H43" s="58">
        <f t="shared" si="4"/>
        <v>47.757903122871198</v>
      </c>
      <c r="I43" s="171">
        <f t="shared" si="3"/>
        <v>2.0938942763613532E-2</v>
      </c>
      <c r="J43" s="174">
        <f t="shared" si="5"/>
        <v>26557878.822905183</v>
      </c>
      <c r="K43" s="166">
        <f t="shared" si="6"/>
        <v>3748.1640606055948</v>
      </c>
      <c r="L43" s="166">
        <f t="shared" si="7"/>
        <v>2.667972863062E-2</v>
      </c>
      <c r="M43" s="166">
        <f t="shared" si="8"/>
        <v>3.2095525999999976</v>
      </c>
      <c r="N43" s="168">
        <f t="shared" si="9"/>
        <v>35680887.755221032</v>
      </c>
      <c r="O43" s="169">
        <f t="shared" si="10"/>
        <v>14563204.067535782</v>
      </c>
      <c r="P43" s="177">
        <f t="shared" si="11"/>
        <v>-21.517407266346169</v>
      </c>
    </row>
    <row r="44" spans="1:16">
      <c r="A44" s="114">
        <v>45536</v>
      </c>
      <c r="B44" s="111">
        <v>3.47</v>
      </c>
      <c r="C44" s="97">
        <v>0</v>
      </c>
      <c r="D44" s="108">
        <f t="shared" si="0"/>
        <v>996604071.68780017</v>
      </c>
      <c r="E44" s="51">
        <v>34582161.287566669</v>
      </c>
      <c r="F44" s="108">
        <f t="shared" si="21"/>
        <v>708557</v>
      </c>
      <c r="G44" s="58">
        <f t="shared" si="2"/>
        <v>43.816300572841151</v>
      </c>
      <c r="H44" s="58">
        <f t="shared" si="4"/>
        <v>48.806463400356883</v>
      </c>
      <c r="I44" s="171">
        <f t="shared" si="3"/>
        <v>2.0489089565803038E-2</v>
      </c>
      <c r="J44" s="174">
        <f t="shared" si="5"/>
        <v>26929848.473698791</v>
      </c>
      <c r="K44" s="166">
        <f t="shared" si="6"/>
        <v>3800.6608464384362</v>
      </c>
      <c r="L44" s="166">
        <f t="shared" si="7"/>
        <v>2.6311213770549683E-2</v>
      </c>
      <c r="M44" s="166">
        <f t="shared" si="8"/>
        <v>1.4005999999999936</v>
      </c>
      <c r="N44" s="168">
        <f t="shared" si="9"/>
        <v>36549824.414723933</v>
      </c>
      <c r="O44" s="169">
        <f t="shared" si="10"/>
        <v>14465805.358732101</v>
      </c>
      <c r="P44" s="177">
        <f t="shared" si="11"/>
        <v>-22.127919508082091</v>
      </c>
    </row>
    <row r="45" spans="1:16">
      <c r="A45" s="114">
        <v>45566</v>
      </c>
      <c r="B45" s="111">
        <v>2.69</v>
      </c>
      <c r="C45" s="97">
        <v>0.3</v>
      </c>
      <c r="D45" s="108">
        <f t="shared" si="0"/>
        <v>1330025083.0819046</v>
      </c>
      <c r="E45" s="51">
        <v>35777674.734903231</v>
      </c>
      <c r="F45" s="112">
        <f>710735000/1000</f>
        <v>710735</v>
      </c>
      <c r="G45" s="58">
        <f t="shared" si="2"/>
        <v>44.994959058250572</v>
      </c>
      <c r="H45" s="58">
        <f t="shared" si="4"/>
        <v>50.338979696938004</v>
      </c>
      <c r="I45" s="171">
        <f t="shared" si="3"/>
        <v>1.9865321188876371E-2</v>
      </c>
      <c r="J45" s="174">
        <f t="shared" si="5"/>
        <v>27190610.051048432</v>
      </c>
      <c r="K45" s="166">
        <f t="shared" si="6"/>
        <v>3825.7029766436758</v>
      </c>
      <c r="L45" s="166">
        <f t="shared" si="7"/>
        <v>2.6138986902671388E-2</v>
      </c>
      <c r="M45" s="166">
        <f t="shared" si="8"/>
        <v>0.96829945999998812</v>
      </c>
      <c r="N45" s="168">
        <f t="shared" si="9"/>
        <v>37291452.208925642</v>
      </c>
      <c r="O45" s="169">
        <f t="shared" si="10"/>
        <v>14299242.094842022</v>
      </c>
      <c r="P45" s="177">
        <f t="shared" si="11"/>
        <v>-24.001181595732973</v>
      </c>
    </row>
    <row r="46" spans="1:16">
      <c r="A46" s="114">
        <v>45597</v>
      </c>
      <c r="B46" s="111">
        <v>2.4300000000000002</v>
      </c>
      <c r="C46" s="97">
        <v>0.7</v>
      </c>
      <c r="D46" s="108">
        <f t="shared" si="0"/>
        <v>1558012063.7393687</v>
      </c>
      <c r="E46" s="51">
        <v>37859693.148866661</v>
      </c>
      <c r="F46" s="112">
        <f>710735000/1000</f>
        <v>710735</v>
      </c>
      <c r="G46" s="58">
        <f t="shared" si="2"/>
        <v>46.088336563366063</v>
      </c>
      <c r="H46" s="58">
        <f t="shared" si="4"/>
        <v>53.268367463072259</v>
      </c>
      <c r="I46" s="171">
        <f t="shared" si="3"/>
        <v>1.8772867418796711E-2</v>
      </c>
      <c r="J46" s="174">
        <f t="shared" si="5"/>
        <v>27504481.26357406</v>
      </c>
      <c r="K46" s="166">
        <f t="shared" si="6"/>
        <v>3869.8644731966292</v>
      </c>
      <c r="L46" s="166">
        <f t="shared" si="7"/>
        <v>2.5840698218921574E-2</v>
      </c>
      <c r="M46" s="166">
        <f t="shared" si="8"/>
        <v>1.1543367799999988</v>
      </c>
      <c r="N46" s="168">
        <f t="shared" si="9"/>
        <v>38133309.681108572</v>
      </c>
      <c r="O46" s="169">
        <f t="shared" si="10"/>
        <v>14149428.454959828</v>
      </c>
      <c r="P46" s="177">
        <f t="shared" si="11"/>
        <v>-27.351547315968105</v>
      </c>
    </row>
    <row r="47" spans="1:16">
      <c r="A47" s="114">
        <v>45627</v>
      </c>
      <c r="B47" s="111">
        <v>2.7</v>
      </c>
      <c r="C47" s="97">
        <v>0.5</v>
      </c>
      <c r="D47" s="108">
        <f t="shared" si="0"/>
        <v>1611371758.348865</v>
      </c>
      <c r="E47" s="51">
        <v>43507037.475419357</v>
      </c>
      <c r="F47" s="112">
        <f>710735000/1000</f>
        <v>710735</v>
      </c>
      <c r="G47" s="58">
        <f t="shared" si="2"/>
        <v>47.332721650576943</v>
      </c>
      <c r="H47" s="58">
        <f t="shared" si="4"/>
        <v>61.214147995271595</v>
      </c>
      <c r="I47" s="171">
        <f t="shared" si="3"/>
        <v>1.6336092762039973E-2</v>
      </c>
      <c r="J47" s="174">
        <f t="shared" si="5"/>
        <v>27834412.093705699</v>
      </c>
      <c r="K47" s="166">
        <f t="shared" si="6"/>
        <v>3916.2855485807931</v>
      </c>
      <c r="L47" s="166">
        <f t="shared" si="7"/>
        <v>2.5534399562932433E-2</v>
      </c>
      <c r="M47" s="166">
        <f t="shared" si="8"/>
        <v>1.1995529999999937</v>
      </c>
      <c r="N47" s="168">
        <f t="shared" si="9"/>
        <v>39003907.631785959</v>
      </c>
      <c r="O47" s="169">
        <f t="shared" si="10"/>
        <v>14012980.422574405</v>
      </c>
      <c r="P47" s="177">
        <f t="shared" si="11"/>
        <v>-36.023195995747564</v>
      </c>
    </row>
    <row r="48" spans="1:16">
      <c r="A48" s="114">
        <v>45658</v>
      </c>
      <c r="B48" s="111">
        <v>2.21</v>
      </c>
      <c r="C48" s="105">
        <v>0.4</v>
      </c>
      <c r="D48" s="108">
        <f t="shared" si="0"/>
        <v>2065613740.002919</v>
      </c>
      <c r="E48" s="51">
        <v>45650063.654064506</v>
      </c>
      <c r="F48" s="108">
        <f xml:space="preserve"> 708114000/1000</f>
        <v>708114</v>
      </c>
      <c r="G48" s="58">
        <f t="shared" si="2"/>
        <v>48.378774799054696</v>
      </c>
      <c r="H48" s="58">
        <f t="shared" si="4"/>
        <v>64.467110739322351</v>
      </c>
      <c r="I48" s="171">
        <f t="shared" si="3"/>
        <v>1.5511785599382232E-2</v>
      </c>
      <c r="J48" s="174">
        <f t="shared" si="5"/>
        <v>28003236.01977247</v>
      </c>
      <c r="K48" s="166">
        <f t="shared" si="6"/>
        <v>3954.6225635663845</v>
      </c>
      <c r="L48" s="166">
        <f t="shared" si="7"/>
        <v>2.5286863257518392E-2</v>
      </c>
      <c r="M48" s="166">
        <f t="shared" si="8"/>
        <v>0.60652951999998572</v>
      </c>
      <c r="N48" s="168">
        <f t="shared" si="9"/>
        <v>39656677.778786547</v>
      </c>
      <c r="O48" s="169">
        <f t="shared" si="10"/>
        <v>13799259.736470707</v>
      </c>
      <c r="P48" s="177">
        <f t="shared" si="11"/>
        <v>-38.656742667478909</v>
      </c>
    </row>
    <row r="49" spans="1:16">
      <c r="A49" s="114">
        <v>45689</v>
      </c>
      <c r="B49" s="111">
        <v>2.4</v>
      </c>
      <c r="C49" s="105">
        <v>0.9</v>
      </c>
      <c r="D49" s="108">
        <f t="shared" si="0"/>
        <v>1889198744.4657736</v>
      </c>
      <c r="E49" s="51">
        <v>45340769.867178559</v>
      </c>
      <c r="F49" s="108">
        <f t="shared" ref="F49:F50" si="22" xml:space="preserve"> 708114000/1000</f>
        <v>708114</v>
      </c>
      <c r="G49" s="58">
        <f t="shared" si="2"/>
        <v>49.53986539423201</v>
      </c>
      <c r="H49" s="58">
        <f t="shared" si="4"/>
        <v>64.030325437964166</v>
      </c>
      <c r="I49" s="171">
        <f t="shared" si="3"/>
        <v>1.5617599835078939E-2</v>
      </c>
      <c r="J49" s="174">
        <f t="shared" si="5"/>
        <v>28380015.303926636</v>
      </c>
      <c r="K49" s="166">
        <f t="shared" si="6"/>
        <v>4007.8314090565414</v>
      </c>
      <c r="L49" s="166">
        <f t="shared" si="7"/>
        <v>2.4951149335780166E-2</v>
      </c>
      <c r="M49" s="166">
        <f t="shared" si="8"/>
        <v>1.345484800000007</v>
      </c>
      <c r="N49" s="168">
        <f t="shared" si="9"/>
        <v>40636539.084604897</v>
      </c>
      <c r="O49" s="169">
        <f t="shared" si="10"/>
        <v>13675102.608100018</v>
      </c>
      <c r="P49" s="177">
        <f t="shared" si="11"/>
        <v>-37.407292846894372</v>
      </c>
    </row>
    <row r="50" spans="1:16">
      <c r="A50" s="114">
        <v>45717</v>
      </c>
      <c r="B50" s="111">
        <v>3.73</v>
      </c>
      <c r="C50" s="105">
        <v>-1.9</v>
      </c>
      <c r="D50" s="108">
        <f t="shared" si="0"/>
        <v>1262011815.9552019</v>
      </c>
      <c r="E50" s="51">
        <v>47073040.735129029</v>
      </c>
      <c r="F50" s="108">
        <f t="shared" si="22"/>
        <v>708114</v>
      </c>
      <c r="G50" s="58">
        <f t="shared" si="2"/>
        <v>51.387702373436866</v>
      </c>
      <c r="H50" s="58">
        <f t="shared" si="4"/>
        <v>66.476641805032841</v>
      </c>
      <c r="I50" s="171">
        <f t="shared" si="3"/>
        <v>1.5042877811620916E-2</v>
      </c>
      <c r="J50" s="174">
        <f t="shared" si="5"/>
        <v>28246856.87945294</v>
      </c>
      <c r="K50" s="166">
        <f t="shared" si="6"/>
        <v>3989.0267498528401</v>
      </c>
      <c r="L50" s="166">
        <f t="shared" si="7"/>
        <v>2.506877147506948E-2</v>
      </c>
      <c r="M50" s="166">
        <f t="shared" si="8"/>
        <v>-0.46919785999999708</v>
      </c>
      <c r="N50" s="168">
        <f t="shared" si="9"/>
        <v>40779297.863402233</v>
      </c>
      <c r="O50" s="169">
        <f t="shared" si="10"/>
        <v>13384912.59848363</v>
      </c>
      <c r="P50" s="177">
        <f t="shared" si="11"/>
        <v>-39.99355801467641</v>
      </c>
    </row>
    <row r="51" spans="1:16">
      <c r="A51" s="114">
        <v>45748</v>
      </c>
      <c r="B51" s="111">
        <v>2.78</v>
      </c>
      <c r="C51" s="105">
        <v>1.1000000000000001</v>
      </c>
      <c r="D51" s="108">
        <f t="shared" si="0"/>
        <v>1721688815.8872902</v>
      </c>
      <c r="E51" s="51">
        <v>47862949.081666663</v>
      </c>
      <c r="F51" s="112">
        <f xml:space="preserve"> 776529000/1000</f>
        <v>776529</v>
      </c>
      <c r="G51" s="58">
        <f t="shared" si="2"/>
        <v>52.816280499418411</v>
      </c>
      <c r="H51" s="58">
        <f t="shared" si="4"/>
        <v>61.637040061178219</v>
      </c>
      <c r="I51" s="171">
        <f t="shared" si="3"/>
        <v>1.6224010741064852E-2</v>
      </c>
      <c r="J51" s="174">
        <f t="shared" si="5"/>
        <v>28795739.983727019</v>
      </c>
      <c r="K51" s="166">
        <f t="shared" si="6"/>
        <v>3708.2633080962873</v>
      </c>
      <c r="L51" s="166">
        <f t="shared" si="7"/>
        <v>2.6966801354604195E-2</v>
      </c>
      <c r="M51" s="166">
        <f t="shared" si="8"/>
        <v>1.9431652400000035</v>
      </c>
      <c r="N51" s="168">
        <f t="shared" si="9"/>
        <v>42041551.312476225</v>
      </c>
      <c r="O51" s="169">
        <f t="shared" si="10"/>
        <v>13337479.295128144</v>
      </c>
      <c r="P51" s="177">
        <f t="shared" si="11"/>
        <v>-39.837096258749156</v>
      </c>
    </row>
    <row r="52" spans="1:16">
      <c r="A52" s="114">
        <v>45778</v>
      </c>
      <c r="B52" s="111">
        <v>1.5</v>
      </c>
      <c r="C52" s="105">
        <v>-0.2</v>
      </c>
      <c r="D52" s="108">
        <f t="shared" si="0"/>
        <v>3215535130.9376349</v>
      </c>
      <c r="E52" s="51">
        <v>48233026.964064524</v>
      </c>
      <c r="F52" s="112">
        <f t="shared" ref="F52:F53" si="23" xml:space="preserve"> 776529000/1000</f>
        <v>776529</v>
      </c>
      <c r="G52" s="58">
        <f t="shared" si="2"/>
        <v>53.608524706909684</v>
      </c>
      <c r="H52" s="58">
        <f t="shared" si="4"/>
        <v>62.113619663997767</v>
      </c>
      <c r="I52" s="171">
        <f t="shared" si="3"/>
        <v>1.6099528660694345E-2</v>
      </c>
      <c r="J52" s="174">
        <f t="shared" si="5"/>
        <v>28580107.692177273</v>
      </c>
      <c r="K52" s="166">
        <f t="shared" si="6"/>
        <v>3680.4945716357374</v>
      </c>
      <c r="L52" s="166">
        <f t="shared" si="7"/>
        <v>2.7170261510685124E-2</v>
      </c>
      <c r="M52" s="166">
        <f t="shared" si="8"/>
        <v>-0.74883400000001232</v>
      </c>
      <c r="N52" s="168">
        <f t="shared" si="9"/>
        <v>42144063.74953451</v>
      </c>
      <c r="O52" s="169">
        <f t="shared" si="10"/>
        <v>12972646.953487551</v>
      </c>
      <c r="P52" s="177">
        <f t="shared" si="11"/>
        <v>-40.745772158420493</v>
      </c>
    </row>
    <row r="53" spans="1:16">
      <c r="A53" s="114">
        <v>45809</v>
      </c>
      <c r="B53" s="111">
        <v>1.62</v>
      </c>
      <c r="C53" s="105">
        <v>-0.3</v>
      </c>
      <c r="D53" s="108">
        <f t="shared" si="0"/>
        <v>3118049454.5061727</v>
      </c>
      <c r="E53" s="51">
        <v>50512401.163000003</v>
      </c>
      <c r="F53" s="112">
        <f t="shared" si="23"/>
        <v>776529</v>
      </c>
      <c r="G53" s="58">
        <f t="shared" si="2"/>
        <v>54.476982807161619</v>
      </c>
      <c r="H53" s="58">
        <f t="shared" si="4"/>
        <v>65.048956527058237</v>
      </c>
      <c r="I53" s="171">
        <f t="shared" si="3"/>
        <v>1.5373036761689371E-2</v>
      </c>
      <c r="J53" s="174">
        <f t="shared" si="5"/>
        <v>28368317.925072152</v>
      </c>
      <c r="K53" s="166">
        <f t="shared" si="6"/>
        <v>3653.2206685226379</v>
      </c>
      <c r="L53" s="166">
        <f t="shared" si="7"/>
        <v>2.7373106930449947E-2</v>
      </c>
      <c r="M53" s="166">
        <f t="shared" si="8"/>
        <v>-0.74103908000000518</v>
      </c>
      <c r="N53" s="168">
        <f t="shared" si="9"/>
        <v>42245894.899870962</v>
      </c>
      <c r="O53" s="169">
        <f t="shared" si="10"/>
        <v>12621321.85323061</v>
      </c>
      <c r="P53" s="177">
        <f t="shared" si="11"/>
        <v>-43.838904364238076</v>
      </c>
    </row>
    <row r="54" spans="1:16">
      <c r="A54" s="114">
        <v>45839</v>
      </c>
      <c r="B54" s="111">
        <v>1.9</v>
      </c>
      <c r="C54" s="105">
        <v>0.2</v>
      </c>
      <c r="D54" s="108">
        <f t="shared" si="0"/>
        <v>2847087256.1612906</v>
      </c>
      <c r="E54" s="51">
        <v>54094657.867064521</v>
      </c>
      <c r="F54" s="108">
        <f>737868000/1000</f>
        <v>737868</v>
      </c>
      <c r="G54" s="58">
        <f t="shared" si="2"/>
        <v>55.512045480497683</v>
      </c>
      <c r="H54" s="58">
        <f t="shared" si="4"/>
        <v>73.31210713442583</v>
      </c>
      <c r="I54" s="171">
        <f t="shared" si="3"/>
        <v>1.3640311799610257E-2</v>
      </c>
      <c r="J54" s="174">
        <f t="shared" si="5"/>
        <v>28391493.819557488</v>
      </c>
      <c r="K54" s="166">
        <f t="shared" si="6"/>
        <v>3847.7741031671635</v>
      </c>
      <c r="L54" s="166">
        <f t="shared" si="7"/>
        <v>2.598905167475617E-2</v>
      </c>
      <c r="M54" s="166">
        <f t="shared" si="8"/>
        <v>8.1696399999989955E-2</v>
      </c>
      <c r="N54" s="168">
        <f t="shared" si="9"/>
        <v>42720364.628900275</v>
      </c>
      <c r="O54" s="169">
        <f t="shared" si="10"/>
        <v>12368905.917105779</v>
      </c>
      <c r="P54" s="177">
        <f t="shared" si="11"/>
        <v>-47.515161498334166</v>
      </c>
    </row>
    <row r="55" spans="1:16">
      <c r="A55" s="114">
        <v>45870</v>
      </c>
      <c r="B55" s="111">
        <v>1.88</v>
      </c>
      <c r="C55" s="105">
        <v>0.7</v>
      </c>
      <c r="D55" s="108">
        <f t="shared" si="0"/>
        <v>2810895837.2306108</v>
      </c>
      <c r="E55" s="51">
        <v>52844841.73993548</v>
      </c>
      <c r="F55" s="108">
        <f t="shared" ref="F55:F56" si="24">737868000/1000</f>
        <v>737868</v>
      </c>
      <c r="G55" s="58">
        <f t="shared" si="2"/>
        <v>56.555671935531038</v>
      </c>
      <c r="H55" s="58">
        <f t="shared" si="4"/>
        <v>71.618286387179651</v>
      </c>
      <c r="I55" s="171">
        <f t="shared" si="3"/>
        <v>1.3962914367901008E-2</v>
      </c>
      <c r="J55" s="174">
        <f t="shared" si="5"/>
        <v>28565018.791252654</v>
      </c>
      <c r="K55" s="166">
        <f t="shared" si="6"/>
        <v>3871.2911782666624</v>
      </c>
      <c r="L55" s="166">
        <f t="shared" si="7"/>
        <v>2.5831175025375942E-2</v>
      </c>
      <c r="M55" s="166">
        <f t="shared" si="8"/>
        <v>0.61118647999998288</v>
      </c>
      <c r="N55" s="168">
        <f t="shared" si="9"/>
        <v>43450213.897320673</v>
      </c>
      <c r="O55" s="169">
        <f t="shared" si="10"/>
        <v>12173597.211688276</v>
      </c>
      <c r="P55" s="177">
        <f t="shared" si="11"/>
        <v>-45.945492784652004</v>
      </c>
    </row>
    <row r="56" spans="1:16">
      <c r="A56" s="114">
        <v>45901</v>
      </c>
      <c r="B56" s="111">
        <v>2.08</v>
      </c>
      <c r="C56" s="105">
        <v>0.7</v>
      </c>
      <c r="D56" s="108">
        <f t="shared" si="0"/>
        <v>2488009320.6730766</v>
      </c>
      <c r="E56" s="51">
        <v>51750593.869999997</v>
      </c>
      <c r="F56" s="108">
        <f t="shared" si="24"/>
        <v>737868</v>
      </c>
      <c r="G56" s="58">
        <f t="shared" si="2"/>
        <v>57.732029911790079</v>
      </c>
      <c r="H56" s="58">
        <f t="shared" si="4"/>
        <v>70.135300446692355</v>
      </c>
      <c r="I56" s="171">
        <f t="shared" si="3"/>
        <v>1.4258155217572193E-2</v>
      </c>
      <c r="J56" s="174">
        <f t="shared" si="5"/>
        <v>28796022.864208702</v>
      </c>
      <c r="K56" s="166">
        <f t="shared" si="6"/>
        <v>3902.5981427855259</v>
      </c>
      <c r="L56" s="166">
        <f t="shared" si="7"/>
        <v>2.5623955206575233E-2</v>
      </c>
      <c r="M56" s="166">
        <f t="shared" si="8"/>
        <v>0.80869567999999836</v>
      </c>
      <c r="N56" s="168">
        <f t="shared" si="9"/>
        <v>44279286.246849626</v>
      </c>
      <c r="O56" s="169">
        <f t="shared" si="10"/>
        <v>12004893.047331501</v>
      </c>
      <c r="P56" s="177">
        <f t="shared" si="11"/>
        <v>-44.356149928355009</v>
      </c>
    </row>
    <row r="57" spans="1:16">
      <c r="A57" s="114">
        <v>45931</v>
      </c>
      <c r="B57" s="111">
        <v>2.34</v>
      </c>
      <c r="C57" s="105">
        <v>-0.5</v>
      </c>
      <c r="D57" s="108">
        <f t="shared" si="0"/>
        <v>2249095799.9324508</v>
      </c>
      <c r="E57" s="51">
        <v>52628841.718419343</v>
      </c>
      <c r="F57" s="113">
        <f>F54*(1+B57/100)*(1+C57/100)</f>
        <v>751358.44064400007</v>
      </c>
      <c r="G57" s="58">
        <f t="shared" si="2"/>
        <v>59.082959411725973</v>
      </c>
      <c r="H57" s="58">
        <f t="shared" si="4"/>
        <v>70.044919803270474</v>
      </c>
      <c r="I57" s="171">
        <f t="shared" si="3"/>
        <v>1.427655285791774E-2</v>
      </c>
      <c r="J57" s="174">
        <f t="shared" si="5"/>
        <v>28721610.312828708</v>
      </c>
      <c r="K57" s="166">
        <f t="shared" si="6"/>
        <v>3822.6242974273378</v>
      </c>
      <c r="L57" s="166">
        <f t="shared" si="7"/>
        <v>2.6160038816082695E-2</v>
      </c>
      <c r="M57" s="166">
        <f t="shared" si="8"/>
        <v>-0.25841259999999089</v>
      </c>
      <c r="N57" s="168">
        <f t="shared" si="9"/>
        <v>44593093.725598201</v>
      </c>
      <c r="O57" s="169">
        <f t="shared" si="10"/>
        <v>11741300.554260656</v>
      </c>
      <c r="P57" s="177">
        <f t="shared" si="11"/>
        <v>-45.426102161817951</v>
      </c>
    </row>
    <row r="58" spans="1:16">
      <c r="A58" s="114">
        <v>45962</v>
      </c>
      <c r="B58" s="111">
        <v>2.4700000000000002</v>
      </c>
      <c r="C58" s="105">
        <v>-0.1</v>
      </c>
      <c r="D58" s="108">
        <f t="shared" si="0"/>
        <v>2112285036.7881246</v>
      </c>
      <c r="E58" s="51">
        <v>52173440.408666678</v>
      </c>
      <c r="F58" s="113">
        <f>F55*(1+B58/100)*(1+C58/100)</f>
        <v>755337.24626039993</v>
      </c>
      <c r="G58" s="58">
        <f t="shared" si="2"/>
        <v>60.5423085091956</v>
      </c>
      <c r="H58" s="58">
        <f t="shared" si="4"/>
        <v>69.073040773472016</v>
      </c>
      <c r="I58" s="171">
        <f t="shared" si="3"/>
        <v>1.4477428368609725E-2</v>
      </c>
      <c r="J58" s="174">
        <f t="shared" si="5"/>
        <v>28810686.751058079</v>
      </c>
      <c r="K58" s="166">
        <f t="shared" si="6"/>
        <v>3814.2812225528323</v>
      </c>
      <c r="L58" s="166">
        <f t="shared" si="7"/>
        <v>2.6217259338070446E-2</v>
      </c>
      <c r="M58" s="166">
        <f t="shared" si="8"/>
        <v>0.31013733999999382</v>
      </c>
      <c r="N58" s="168">
        <f t="shared" si="9"/>
        <v>45183312.591963217</v>
      </c>
      <c r="O58" s="169">
        <f t="shared" si="10"/>
        <v>11539663.19840711</v>
      </c>
      <c r="P58" s="177">
        <f t="shared" si="11"/>
        <v>-44.779016822758244</v>
      </c>
    </row>
    <row r="59" spans="1:16">
      <c r="A59" s="114">
        <v>45992</v>
      </c>
      <c r="B59" s="111">
        <v>2.85</v>
      </c>
      <c r="C59" s="105">
        <v>1.8</v>
      </c>
      <c r="D59" s="108">
        <f t="shared" si="0"/>
        <v>2038258261.7362759</v>
      </c>
      <c r="E59" s="51">
        <v>58090360.459483869</v>
      </c>
      <c r="F59" s="113">
        <f>F56*(1+B59/100)*(1+C59/100)</f>
        <v>772557.38828399999</v>
      </c>
      <c r="G59" s="58">
        <f t="shared" si="2"/>
        <v>62.267764301707672</v>
      </c>
      <c r="H59" s="58">
        <f t="shared" si="4"/>
        <v>75.192291654234054</v>
      </c>
      <c r="I59" s="171">
        <f t="shared" si="3"/>
        <v>1.3299235573221026E-2</v>
      </c>
      <c r="J59" s="174">
        <f t="shared" si="5"/>
        <v>29614130.775834452</v>
      </c>
      <c r="K59" s="166">
        <f t="shared" si="6"/>
        <v>3833.2596678174532</v>
      </c>
      <c r="L59" s="166">
        <f t="shared" si="7"/>
        <v>2.6087457846793116E-2</v>
      </c>
      <c r="M59" s="166">
        <f t="shared" si="8"/>
        <v>2.7887014000000065</v>
      </c>
      <c r="N59" s="168">
        <f t="shared" si="9"/>
        <v>47000063.286051668</v>
      </c>
      <c r="O59" s="169">
        <f t="shared" si="10"/>
        <v>11578381.445639627</v>
      </c>
      <c r="P59" s="177">
        <f t="shared" si="11"/>
        <v>-49.020576664368711</v>
      </c>
    </row>
    <row r="60" spans="1:16">
      <c r="A60" s="114">
        <v>46023</v>
      </c>
      <c r="B60" s="111">
        <v>2.88</v>
      </c>
      <c r="C60" s="105">
        <v>0.5</v>
      </c>
      <c r="D60" s="108">
        <f t="shared" si="0"/>
        <v>2028032435.0873654</v>
      </c>
      <c r="E60" s="51">
        <v>58407334.130516127</v>
      </c>
      <c r="F60" s="113">
        <f>F57*(1+B60/100)*(1+C60/100)</f>
        <v>776862.55155321991</v>
      </c>
      <c r="G60" s="58">
        <f t="shared" si="2"/>
        <v>64.061075913596852</v>
      </c>
      <c r="H60" s="58">
        <f t="shared" si="4"/>
        <v>75.18361390150605</v>
      </c>
      <c r="I60" s="171">
        <f t="shared" si="3"/>
        <v>1.3300770581606324E-2</v>
      </c>
      <c r="J60" s="174">
        <f t="shared" si="5"/>
        <v>30021894.612965252</v>
      </c>
      <c r="K60" s="166">
        <f t="shared" si="6"/>
        <v>3864.5053173101196</v>
      </c>
      <c r="L60" s="166">
        <f t="shared" si="7"/>
        <v>2.5876533162491489E-2</v>
      </c>
      <c r="M60" s="166">
        <f t="shared" si="8"/>
        <v>1.3769231999999842</v>
      </c>
      <c r="N60" s="168">
        <f t="shared" si="9"/>
        <v>48157349.228348672</v>
      </c>
      <c r="O60" s="169">
        <f t="shared" si="10"/>
        <v>11486824.42177419</v>
      </c>
      <c r="P60" s="177">
        <f t="shared" si="11"/>
        <v>-48.599101363060349</v>
      </c>
    </row>
    <row r="61" spans="1:16">
      <c r="A61" s="114">
        <v>46054</v>
      </c>
      <c r="B61" s="111">
        <v>2.9</v>
      </c>
      <c r="C61" s="105">
        <v>0.5</v>
      </c>
      <c r="D61" s="108">
        <f t="shared" si="0"/>
        <v>1963456871.7007382</v>
      </c>
      <c r="E61" s="51">
        <v>56940249.279321402</v>
      </c>
      <c r="F61" s="113">
        <f>F58*(1+B61/100)*(1+C61/100)</f>
        <v>781128.23653396114</v>
      </c>
      <c r="G61" s="58">
        <f t="shared" si="2"/>
        <v>65.918847115091154</v>
      </c>
      <c r="H61" s="58">
        <f t="shared" si="4"/>
        <v>72.894880272127779</v>
      </c>
      <c r="I61" s="171">
        <f t="shared" si="3"/>
        <v>1.3718384559613056E-2</v>
      </c>
      <c r="J61" s="174">
        <f t="shared" si="5"/>
        <v>30441189.699917253</v>
      </c>
      <c r="K61" s="166">
        <f t="shared" si="6"/>
        <v>3897.0796696572579</v>
      </c>
      <c r="L61" s="166">
        <f t="shared" si="7"/>
        <v>2.5660240096860749E-2</v>
      </c>
      <c r="M61" s="166">
        <f t="shared" si="8"/>
        <v>1.3966309999999937</v>
      </c>
      <c r="N61" s="168">
        <f t="shared" si="9"/>
        <v>49352723.471805535</v>
      </c>
      <c r="O61" s="169">
        <f t="shared" si="10"/>
        <v>11398206.787671039</v>
      </c>
      <c r="P61" s="177">
        <f t="shared" si="11"/>
        <v>-46.538362432191931</v>
      </c>
    </row>
    <row r="62" spans="1:16" ht="16" thickBot="1">
      <c r="A62" s="194">
        <v>46082</v>
      </c>
      <c r="B62" s="195">
        <v>2.7</v>
      </c>
      <c r="C62" s="196"/>
      <c r="D62" s="197">
        <f t="shared" si="0"/>
        <v>2188912592.5925927</v>
      </c>
      <c r="E62" s="198">
        <v>59100640</v>
      </c>
      <c r="F62" s="199">
        <f>F59*(1+B62/100)*(1+C62/100)</f>
        <v>793416.43776766793</v>
      </c>
      <c r="G62" s="196">
        <f t="shared" si="2"/>
        <v>67.698655987198606</v>
      </c>
      <c r="H62" s="196">
        <f t="shared" si="4"/>
        <v>74.488802080133027</v>
      </c>
      <c r="I62" s="200">
        <f t="shared" si="3"/>
        <v>1.3424836647583984E-2</v>
      </c>
      <c r="J62" s="201">
        <f t="shared" si="5"/>
        <v>30637839.785378717</v>
      </c>
      <c r="K62" s="202">
        <f t="shared" si="6"/>
        <v>3861.5080715469417</v>
      </c>
      <c r="L62" s="202">
        <f t="shared" si="7"/>
        <v>2.5896618146893952E-2</v>
      </c>
      <c r="M62" s="202">
        <f t="shared" si="8"/>
        <v>0.64599999999999447</v>
      </c>
      <c r="N62" s="203">
        <f t="shared" si="9"/>
        <v>50178394.535488836</v>
      </c>
      <c r="O62" s="204">
        <f t="shared" si="10"/>
        <v>11237720.03610063</v>
      </c>
      <c r="P62" s="205">
        <f t="shared" si="11"/>
        <v>-48.159884926155257</v>
      </c>
    </row>
    <row r="63" spans="1:16">
      <c r="A63" s="124">
        <v>46113</v>
      </c>
      <c r="B63" s="125">
        <v>2.5</v>
      </c>
      <c r="C63" s="126">
        <v>0.28999999999999998</v>
      </c>
      <c r="F63" s="131">
        <f>F60*(1+B63/100)*(1+C63/100)</f>
        <v>798593.33927654219</v>
      </c>
      <c r="G63" s="132">
        <f>G62*(1+B63/100)</f>
        <v>69.391122386878564</v>
      </c>
      <c r="I63" s="188" t="str">
        <f t="shared" si="3"/>
        <v/>
      </c>
      <c r="J63" s="189">
        <f t="shared" si="5"/>
        <v>30873884.579518396</v>
      </c>
      <c r="K63" s="190">
        <f t="shared" si="6"/>
        <v>3866.0333189715202</v>
      </c>
      <c r="L63" s="190">
        <f t="shared" si="7"/>
        <v>2.5866305784090597E-2</v>
      </c>
      <c r="M63" s="190">
        <f t="shared" si="8"/>
        <v>0.77043549999999372</v>
      </c>
      <c r="N63" s="191">
        <f t="shared" si="9"/>
        <v>51095722.324862301</v>
      </c>
      <c r="O63" s="192">
        <f t="shared" si="10"/>
        <v>11086777.677628534</v>
      </c>
      <c r="P63" s="193" t="str">
        <f t="shared" si="11"/>
        <v/>
      </c>
    </row>
    <row r="64" spans="1:16">
      <c r="A64" s="124">
        <v>46143</v>
      </c>
      <c r="B64" s="125">
        <v>2.2000000000000002</v>
      </c>
      <c r="C64" s="126">
        <v>0.28999999999999998</v>
      </c>
      <c r="F64" s="131">
        <f t="shared" ref="F64:F71" si="25">F61*(1+B64/100)*(1+C64/100)</f>
        <v>800628.1656051476</v>
      </c>
      <c r="G64" s="132">
        <f t="shared" ref="G64:G71" si="26">G63*(1+B64/100)</f>
        <v>70.917727079389891</v>
      </c>
      <c r="I64" s="171" t="str">
        <f t="shared" si="3"/>
        <v/>
      </c>
      <c r="J64" s="178">
        <f t="shared" si="5"/>
        <v>31020689.172070332</v>
      </c>
      <c r="K64" s="179">
        <f t="shared" si="6"/>
        <v>3874.5438275486626</v>
      </c>
      <c r="L64" s="179">
        <f t="shared" si="7"/>
        <v>2.5809489955690542E-2</v>
      </c>
      <c r="M64" s="179">
        <f t="shared" si="8"/>
        <v>0.47549764000000505</v>
      </c>
      <c r="N64" s="180">
        <f t="shared" si="9"/>
        <v>51877537.686018974</v>
      </c>
      <c r="O64" s="181">
        <f t="shared" si="10"/>
        <v>10905849.483887251</v>
      </c>
      <c r="P64" s="182" t="str">
        <f t="shared" si="11"/>
        <v/>
      </c>
    </row>
    <row r="65" spans="1:16">
      <c r="A65" s="127">
        <v>46174</v>
      </c>
      <c r="B65" s="128">
        <v>1.9</v>
      </c>
      <c r="C65" s="128">
        <v>0.28999999999999998</v>
      </c>
      <c r="F65" s="131">
        <f t="shared" si="25"/>
        <v>810835.9750005008</v>
      </c>
      <c r="G65" s="132">
        <f t="shared" si="26"/>
        <v>72.26516389389829</v>
      </c>
      <c r="I65" s="171" t="str">
        <f t="shared" si="3"/>
        <v/>
      </c>
      <c r="J65" s="178">
        <f t="shared" si="5"/>
        <v>31076700.0601939</v>
      </c>
      <c r="K65" s="179">
        <f t="shared" si="6"/>
        <v>3832.6740571882874</v>
      </c>
      <c r="L65" s="179">
        <f t="shared" si="7"/>
        <v>2.6091443860833199E-2</v>
      </c>
      <c r="M65" s="179">
        <f t="shared" si="8"/>
        <v>0.1805597799999811</v>
      </c>
      <c r="N65" s="180">
        <f t="shared" si="9"/>
        <v>52516703.127232544</v>
      </c>
      <c r="O65" s="181">
        <f t="shared" si="10"/>
        <v>10696383.083817562</v>
      </c>
      <c r="P65" s="182" t="str">
        <f t="shared" si="11"/>
        <v/>
      </c>
    </row>
    <row r="66" spans="1:16">
      <c r="A66" s="127">
        <v>46204</v>
      </c>
      <c r="B66" s="128">
        <v>1.8</v>
      </c>
      <c r="C66" s="128">
        <v>0.28999999999999998</v>
      </c>
      <c r="F66" s="131">
        <f t="shared" si="25"/>
        <v>815325.62663973216</v>
      </c>
      <c r="G66" s="132">
        <f t="shared" si="26"/>
        <v>73.565936843988467</v>
      </c>
      <c r="I66" s="171" t="str">
        <f t="shared" si="3"/>
        <v/>
      </c>
      <c r="J66" s="178">
        <f t="shared" si="5"/>
        <v>31102259.763415128</v>
      </c>
      <c r="K66" s="179">
        <f t="shared" si="6"/>
        <v>3814.7040577639395</v>
      </c>
      <c r="L66" s="179">
        <f t="shared" si="7"/>
        <v>2.6214353324859725E-2</v>
      </c>
      <c r="M66" s="179">
        <f t="shared" si="8"/>
        <v>8.2247160000000652E-2</v>
      </c>
      <c r="N66" s="180">
        <f t="shared" si="9"/>
        <v>53111571.041122496</v>
      </c>
      <c r="O66" s="181">
        <f t="shared" si="10"/>
        <v>10480644.533042226</v>
      </c>
      <c r="P66" s="182" t="str">
        <f t="shared" si="11"/>
        <v/>
      </c>
    </row>
    <row r="67" spans="1:16">
      <c r="A67" s="127">
        <v>46235</v>
      </c>
      <c r="B67" s="128">
        <v>1.7</v>
      </c>
      <c r="C67" s="128">
        <v>0.28999999999999998</v>
      </c>
      <c r="F67" s="131">
        <f t="shared" si="25"/>
        <v>816600.13706925418</v>
      </c>
      <c r="G67" s="132">
        <f t="shared" si="26"/>
        <v>74.81655777033626</v>
      </c>
      <c r="I67" s="171" t="str">
        <f t="shared" si="3"/>
        <v/>
      </c>
      <c r="J67" s="178">
        <f t="shared" si="5"/>
        <v>31097263.04231374</v>
      </c>
      <c r="K67" s="179">
        <f t="shared" si="6"/>
        <v>3808.1383569099798</v>
      </c>
      <c r="L67" s="179">
        <f t="shared" si="7"/>
        <v>2.6259550107612828E-2</v>
      </c>
      <c r="M67" s="179">
        <f t="shared" si="8"/>
        <v>-1.6065460000002519E-2</v>
      </c>
      <c r="N67" s="180">
        <f t="shared" si="9"/>
        <v>53660413.715621591</v>
      </c>
      <c r="O67" s="181">
        <f t="shared" si="10"/>
        <v>10259169.59859179</v>
      </c>
      <c r="P67" s="182" t="str">
        <f t="shared" si="11"/>
        <v/>
      </c>
    </row>
    <row r="68" spans="1:16">
      <c r="A68" s="129">
        <v>46266</v>
      </c>
      <c r="B68" s="130">
        <v>1.5</v>
      </c>
      <c r="C68" s="130">
        <v>0.28999999999999998</v>
      </c>
      <c r="F68" s="131">
        <f t="shared" si="25"/>
        <v>825385.21031792206</v>
      </c>
      <c r="G68" s="132">
        <f t="shared" si="26"/>
        <v>75.938806136891301</v>
      </c>
      <c r="I68" s="171" t="str">
        <f t="shared" si="3"/>
        <v/>
      </c>
      <c r="J68" s="178">
        <f t="shared" si="5"/>
        <v>31031122.055868197</v>
      </c>
      <c r="K68" s="179">
        <f t="shared" si="6"/>
        <v>3759.5926929579491</v>
      </c>
      <c r="L68" s="179">
        <f t="shared" si="7"/>
        <v>2.6598626012681873E-2</v>
      </c>
      <c r="M68" s="179">
        <f t="shared" si="8"/>
        <v>-0.21269070000001297</v>
      </c>
      <c r="N68" s="180">
        <f t="shared" si="9"/>
        <v>54108310.6423354</v>
      </c>
      <c r="O68" s="181">
        <f t="shared" si="10"/>
        <v>10022625.812844262</v>
      </c>
      <c r="P68" s="182" t="str">
        <f t="shared" si="11"/>
        <v/>
      </c>
    </row>
    <row r="69" spans="1:16">
      <c r="A69" s="129">
        <v>46296</v>
      </c>
      <c r="B69" s="130">
        <v>2.5</v>
      </c>
      <c r="C69" s="130">
        <v>0.28999999999999998</v>
      </c>
      <c r="F69" s="131">
        <f t="shared" si="25"/>
        <v>838132.3227309119</v>
      </c>
      <c r="G69" s="132">
        <f t="shared" si="26"/>
        <v>77.837276290313582</v>
      </c>
      <c r="I69" s="171" t="str">
        <f t="shared" si="3"/>
        <v/>
      </c>
      <c r="J69" s="178">
        <f t="shared" si="5"/>
        <v>31270196.836234931</v>
      </c>
      <c r="K69" s="179">
        <f t="shared" si="6"/>
        <v>3730.9379423939058</v>
      </c>
      <c r="L69" s="179">
        <f t="shared" si="7"/>
        <v>2.6802911638845531E-2</v>
      </c>
      <c r="M69" s="179">
        <f t="shared" si="8"/>
        <v>0.77043549999998473</v>
      </c>
      <c r="N69" s="180">
        <f t="shared" si="9"/>
        <v>55097482.524930432</v>
      </c>
      <c r="O69" s="181">
        <f t="shared" si="10"/>
        <v>9888004.3083563317</v>
      </c>
      <c r="P69" s="182" t="str">
        <f t="shared" si="11"/>
        <v/>
      </c>
    </row>
    <row r="70" spans="1:16">
      <c r="A70" s="129">
        <v>46327</v>
      </c>
      <c r="B70" s="130">
        <v>2.5</v>
      </c>
      <c r="C70" s="130">
        <v>0.28999999999999998</v>
      </c>
      <c r="F70" s="131">
        <f t="shared" si="25"/>
        <v>839442.48440342373</v>
      </c>
      <c r="G70" s="132">
        <f t="shared" si="26"/>
        <v>79.783208197571412</v>
      </c>
      <c r="I70" s="171" t="str">
        <f t="shared" si="3"/>
        <v/>
      </c>
      <c r="J70" s="178">
        <f t="shared" si="5"/>
        <v>31511113.53358116</v>
      </c>
      <c r="K70" s="179">
        <f t="shared" si="6"/>
        <v>3753.8144803304212</v>
      </c>
      <c r="L70" s="179">
        <f t="shared" si="7"/>
        <v>2.6639569036772885E-2</v>
      </c>
      <c r="M70" s="179">
        <f t="shared" si="8"/>
        <v>0.77043549999999461</v>
      </c>
      <c r="N70" s="180">
        <f t="shared" si="9"/>
        <v>56104737.785137907</v>
      </c>
      <c r="O70" s="181">
        <f t="shared" si="10"/>
        <v>9755191.0076075215</v>
      </c>
      <c r="P70" s="182" t="str">
        <f t="shared" si="11"/>
        <v/>
      </c>
    </row>
    <row r="71" spans="1:16">
      <c r="A71" s="129">
        <v>46357</v>
      </c>
      <c r="B71" s="130">
        <v>2.5</v>
      </c>
      <c r="C71" s="130">
        <v>0.28999999999999998</v>
      </c>
      <c r="F71" s="131">
        <f t="shared" si="25"/>
        <v>848473.29811353993</v>
      </c>
      <c r="G71" s="132">
        <f t="shared" si="26"/>
        <v>81.777788402510694</v>
      </c>
      <c r="I71" s="171" t="str">
        <f t="shared" si="3"/>
        <v/>
      </c>
      <c r="J71" s="183">
        <f t="shared" si="5"/>
        <v>31753886.338689171</v>
      </c>
      <c r="K71" s="184">
        <f t="shared" si="6"/>
        <v>3742.4732645434374</v>
      </c>
      <c r="L71" s="184">
        <f t="shared" si="7"/>
        <v>2.6720297763356094E-2</v>
      </c>
      <c r="M71" s="184">
        <f t="shared" si="8"/>
        <v>0.77043549999999072</v>
      </c>
      <c r="N71" s="185">
        <f t="shared" si="9"/>
        <v>57130407.01115147</v>
      </c>
      <c r="O71" s="186">
        <f t="shared" si="10"/>
        <v>9624161.6232391782</v>
      </c>
      <c r="P71" s="187" t="str">
        <f t="shared" si="11"/>
        <v/>
      </c>
    </row>
  </sheetData>
  <conditionalFormatting sqref="E12:E61">
    <cfRule type="cellIs" dxfId="0" priority="1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7E22"/>
  </sheetPr>
  <dimension ref="A1:F21"/>
  <sheetViews>
    <sheetView showGridLines="0" topLeftCell="A2" zoomScaleNormal="100" workbookViewId="0">
      <selection sqref="A1:F1"/>
    </sheetView>
  </sheetViews>
  <sheetFormatPr baseColWidth="10" defaultColWidth="8.6640625" defaultRowHeight="15"/>
  <cols>
    <col min="1" max="1" width="14" customWidth="1"/>
    <col min="2" max="4" width="18" customWidth="1"/>
    <col min="5" max="5" width="22" customWidth="1"/>
    <col min="6" max="6" width="30" customWidth="1"/>
  </cols>
  <sheetData>
    <row r="1" spans="1:6" ht="39.75" customHeight="1">
      <c r="A1" s="74" t="s">
        <v>136</v>
      </c>
      <c r="B1" s="74"/>
      <c r="C1" s="74"/>
      <c r="D1" s="74"/>
      <c r="E1" s="74"/>
      <c r="F1" s="74"/>
    </row>
    <row r="3" spans="1:6" ht="15" customHeight="1">
      <c r="A3" s="76" t="s">
        <v>137</v>
      </c>
      <c r="B3" s="76"/>
      <c r="C3" s="76"/>
      <c r="D3" s="76"/>
      <c r="E3" s="76"/>
      <c r="F3" s="76"/>
    </row>
    <row r="4" spans="1:6" ht="15" customHeight="1">
      <c r="A4" s="23" t="s">
        <v>138</v>
      </c>
    </row>
    <row r="5" spans="1:6" ht="15" customHeight="1">
      <c r="A5" s="24" t="s">
        <v>139</v>
      </c>
      <c r="B5" s="3" t="s">
        <v>140</v>
      </c>
      <c r="C5" s="3" t="s">
        <v>141</v>
      </c>
      <c r="D5" s="3" t="s">
        <v>142</v>
      </c>
      <c r="E5" s="3" t="s">
        <v>143</v>
      </c>
    </row>
    <row r="6" spans="1:6" ht="15" customHeight="1">
      <c r="A6" s="25" t="s">
        <v>144</v>
      </c>
      <c r="B6" s="26">
        <v>13.2</v>
      </c>
      <c r="C6" s="27">
        <v>12.5</v>
      </c>
      <c r="D6" s="27">
        <v>11.8</v>
      </c>
      <c r="E6" s="27">
        <v>11</v>
      </c>
    </row>
    <row r="7" spans="1:6" ht="15" customHeight="1">
      <c r="A7" s="25" t="s">
        <v>145</v>
      </c>
      <c r="B7" s="26">
        <v>13.4</v>
      </c>
      <c r="C7" s="27">
        <v>12.7</v>
      </c>
      <c r="D7" s="27">
        <v>12</v>
      </c>
      <c r="E7" s="27">
        <v>11.2</v>
      </c>
    </row>
    <row r="8" spans="1:6" ht="15" customHeight="1">
      <c r="A8" s="25" t="s">
        <v>146</v>
      </c>
      <c r="B8" s="26">
        <v>13.6</v>
      </c>
      <c r="C8" s="27">
        <v>12.9</v>
      </c>
      <c r="D8" s="27">
        <v>12.2</v>
      </c>
      <c r="E8" s="27">
        <v>11.4</v>
      </c>
    </row>
    <row r="9" spans="1:6" ht="15" customHeight="1">
      <c r="A9" s="25" t="s">
        <v>147</v>
      </c>
      <c r="B9" s="26">
        <v>13.8</v>
      </c>
      <c r="C9" s="26">
        <v>13.1</v>
      </c>
      <c r="D9" s="27">
        <v>12.4</v>
      </c>
      <c r="E9" s="27">
        <v>11.6</v>
      </c>
    </row>
    <row r="12" spans="1:6" ht="15" customHeight="1">
      <c r="A12" s="28" t="s">
        <v>148</v>
      </c>
    </row>
    <row r="13" spans="1:6" ht="15" customHeight="1">
      <c r="A13" s="83" t="s">
        <v>149</v>
      </c>
      <c r="B13" s="83"/>
      <c r="C13" s="83"/>
      <c r="D13" s="83"/>
      <c r="E13" s="83"/>
      <c r="F13" s="83"/>
    </row>
    <row r="14" spans="1:6" ht="15" customHeight="1">
      <c r="A14" s="83" t="s">
        <v>150</v>
      </c>
      <c r="B14" s="83"/>
      <c r="C14" s="83"/>
      <c r="D14" s="83"/>
      <c r="E14" s="83"/>
      <c r="F14" s="83"/>
    </row>
    <row r="16" spans="1:6" ht="15" customHeight="1">
      <c r="A16" s="84" t="s">
        <v>151</v>
      </c>
      <c r="B16" s="84"/>
      <c r="C16" s="84"/>
      <c r="D16" s="84"/>
      <c r="E16" s="84"/>
      <c r="F16" s="84"/>
    </row>
    <row r="17" spans="1:6" ht="27.75" customHeight="1">
      <c r="A17" s="29" t="s">
        <v>152</v>
      </c>
      <c r="B17" s="29" t="s">
        <v>153</v>
      </c>
      <c r="C17" s="29" t="s">
        <v>154</v>
      </c>
      <c r="D17" s="29" t="s">
        <v>155</v>
      </c>
      <c r="E17" s="29" t="s">
        <v>156</v>
      </c>
      <c r="F17" s="29" t="s">
        <v>157</v>
      </c>
    </row>
    <row r="18" spans="1:6" ht="27.75" customHeight="1">
      <c r="A18" s="30" t="s">
        <v>158</v>
      </c>
      <c r="B18" s="30" t="s">
        <v>141</v>
      </c>
      <c r="C18" s="30" t="s">
        <v>159</v>
      </c>
      <c r="D18" s="30" t="s">
        <v>160</v>
      </c>
      <c r="E18" s="30" t="s">
        <v>161</v>
      </c>
      <c r="F18" s="30" t="s">
        <v>162</v>
      </c>
    </row>
    <row r="19" spans="1:6" ht="27.75" customHeight="1">
      <c r="A19" s="31" t="s">
        <v>163</v>
      </c>
      <c r="B19" s="31" t="s">
        <v>140</v>
      </c>
      <c r="C19" s="31" t="s">
        <v>164</v>
      </c>
      <c r="D19" s="31" t="s">
        <v>165</v>
      </c>
      <c r="E19" s="31" t="s">
        <v>166</v>
      </c>
      <c r="F19" s="31" t="s">
        <v>167</v>
      </c>
    </row>
    <row r="20" spans="1:6" ht="27.75" customHeight="1">
      <c r="A20" s="32" t="s">
        <v>168</v>
      </c>
      <c r="B20" s="32" t="s">
        <v>169</v>
      </c>
      <c r="C20" s="32" t="s">
        <v>170</v>
      </c>
      <c r="D20" s="32" t="s">
        <v>171</v>
      </c>
      <c r="E20" s="32" t="s">
        <v>172</v>
      </c>
      <c r="F20" s="32" t="s">
        <v>173</v>
      </c>
    </row>
    <row r="21" spans="1:6" ht="27.75" customHeight="1">
      <c r="A21" s="33" t="s">
        <v>174</v>
      </c>
      <c r="B21" s="33" t="s">
        <v>175</v>
      </c>
      <c r="C21" s="33" t="s">
        <v>176</v>
      </c>
      <c r="D21" s="33" t="s">
        <v>177</v>
      </c>
      <c r="E21" s="33" t="s">
        <v>178</v>
      </c>
      <c r="F21" s="33" t="s">
        <v>179</v>
      </c>
    </row>
  </sheetData>
  <mergeCells count="5">
    <mergeCell ref="A1:F1"/>
    <mergeCell ref="A3:F3"/>
    <mergeCell ref="A13:F13"/>
    <mergeCell ref="A14:F14"/>
    <mergeCell ref="A16:F16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18E0C-915D-4845-AC4B-DAE81B9F29AA}">
  <sheetPr>
    <tabColor rgb="FF2E75B6"/>
  </sheetPr>
  <dimension ref="A1:Q80"/>
  <sheetViews>
    <sheetView workbookViewId="0">
      <selection activeCell="I26" sqref="I26"/>
    </sheetView>
  </sheetViews>
  <sheetFormatPr baseColWidth="10" defaultRowHeight="15"/>
  <cols>
    <col min="1" max="1" width="36.6640625" customWidth="1"/>
    <col min="2" max="4" width="18.33203125" customWidth="1"/>
    <col min="5" max="7" width="13.33203125" customWidth="1"/>
    <col min="8" max="17" width="15" customWidth="1"/>
  </cols>
  <sheetData>
    <row r="1" spans="1:7" ht="35" customHeight="1">
      <c r="A1" s="134" t="s">
        <v>227</v>
      </c>
      <c r="B1" s="133"/>
      <c r="C1" s="133"/>
      <c r="D1" s="133"/>
      <c r="E1" s="133"/>
      <c r="F1" s="133"/>
      <c r="G1" s="133"/>
    </row>
    <row r="2" spans="1:7">
      <c r="A2" s="135" t="s">
        <v>228</v>
      </c>
      <c r="B2" s="133"/>
      <c r="C2" s="133"/>
      <c r="D2" s="133"/>
      <c r="E2" s="133"/>
      <c r="F2" s="133"/>
      <c r="G2" s="133"/>
    </row>
    <row r="4" spans="1:7">
      <c r="A4" s="136" t="s">
        <v>229</v>
      </c>
      <c r="B4" s="133"/>
      <c r="C4" s="133"/>
      <c r="D4" s="133"/>
      <c r="E4" s="133"/>
      <c r="F4" s="133"/>
      <c r="G4" s="133"/>
    </row>
    <row r="5" spans="1:7">
      <c r="A5" s="139" t="s">
        <v>4</v>
      </c>
      <c r="B5" s="139" t="s">
        <v>158</v>
      </c>
      <c r="C5" s="139" t="s">
        <v>163</v>
      </c>
      <c r="D5" s="139" t="s">
        <v>168</v>
      </c>
      <c r="E5" s="139" t="s">
        <v>230</v>
      </c>
      <c r="F5" s="139" t="s">
        <v>231</v>
      </c>
      <c r="G5" s="139" t="s">
        <v>232</v>
      </c>
    </row>
    <row r="6" spans="1:7">
      <c r="A6" s="137" t="s">
        <v>233</v>
      </c>
      <c r="B6" s="142">
        <f>'M2 PROYECTADO NUEVO'!J71</f>
        <v>31753886.338689171</v>
      </c>
      <c r="C6" s="143">
        <f>'M2 PROYECTADO NUEVO'!N71</f>
        <v>57130407.01115147</v>
      </c>
      <c r="D6" s="144">
        <f>'M2 PROYECTADO NUEVO'!O71</f>
        <v>9624161.6232391782</v>
      </c>
      <c r="E6" s="140">
        <v>1.1000000000000001</v>
      </c>
      <c r="F6" s="140">
        <v>-0.45</v>
      </c>
      <c r="G6" s="140">
        <v>-0.02</v>
      </c>
    </row>
    <row r="7" spans="1:7">
      <c r="A7" s="137" t="s">
        <v>234</v>
      </c>
      <c r="B7" s="145">
        <f>'M2 PROYECTADO NUEVO'!J71/'M2 PROYECTADO NUEVO'!F71*100</f>
        <v>3742.4732645434374</v>
      </c>
      <c r="C7" s="146">
        <f>'M2 PROYECTADO NUEVO'!N71/'M2 PROYECTADO NUEVO'!F71*100</f>
        <v>6733.3182008405956</v>
      </c>
      <c r="D7" s="147">
        <f>'M2 PROYECTADO NUEVO'!O71/'M2 PROYECTADO NUEVO'!F71*100</f>
        <v>1134.2916323515587</v>
      </c>
      <c r="E7" s="140">
        <v>1.2</v>
      </c>
      <c r="F7" s="140">
        <v>-0.3</v>
      </c>
      <c r="G7" s="140">
        <v>-0.01</v>
      </c>
    </row>
    <row r="8" spans="1:7">
      <c r="A8" s="137" t="s">
        <v>217</v>
      </c>
      <c r="B8" s="145">
        <f>IF(B6=0,"",'M2 PROYECTADO NUEVO'!F71/B6)</f>
        <v>2.6720297763356094E-2</v>
      </c>
      <c r="C8" s="146">
        <f>IF(C6=0,"",'M2 PROYECTADO NUEVO'!F71/C6)</f>
        <v>1.4851518525816274E-2</v>
      </c>
      <c r="D8" s="147">
        <f>IF(D6=0,"",'M2 PROYECTADO NUEVO'!F71/D6)</f>
        <v>8.8160749094732219E-2</v>
      </c>
      <c r="E8" s="140">
        <v>0.9</v>
      </c>
      <c r="F8" s="140">
        <v>-0.6</v>
      </c>
      <c r="G8" s="140">
        <v>-0.04</v>
      </c>
    </row>
    <row r="9" spans="1:7">
      <c r="A9" s="137" t="s">
        <v>235</v>
      </c>
      <c r="B9" s="148">
        <v>15.2</v>
      </c>
      <c r="C9" s="149">
        <v>17</v>
      </c>
      <c r="D9" s="150">
        <v>13</v>
      </c>
    </row>
    <row r="10" spans="1:7">
      <c r="A10" s="137" t="s">
        <v>236</v>
      </c>
      <c r="B10" s="145">
        <f>100/B9</f>
        <v>6.5789473684210531</v>
      </c>
      <c r="C10" s="146">
        <f>100/C9</f>
        <v>5.882352941176471</v>
      </c>
      <c r="D10" s="147">
        <f>100/D9</f>
        <v>7.6923076923076925</v>
      </c>
    </row>
    <row r="12" spans="1:7">
      <c r="A12" s="136" t="s">
        <v>237</v>
      </c>
      <c r="B12" s="133"/>
      <c r="C12" s="133"/>
      <c r="D12" s="133"/>
      <c r="E12" s="133"/>
      <c r="F12" s="133"/>
      <c r="G12" s="133"/>
    </row>
    <row r="13" spans="1:7">
      <c r="A13" s="137" t="s">
        <v>238</v>
      </c>
      <c r="B13" s="151">
        <v>65800000</v>
      </c>
    </row>
    <row r="14" spans="1:7">
      <c r="A14" s="137" t="s">
        <v>239</v>
      </c>
      <c r="B14" s="152">
        <f>'M2 PROYECTADO NUEVO'!E59</f>
        <v>58090360.459483869</v>
      </c>
    </row>
    <row r="15" spans="1:7">
      <c r="A15" s="137" t="s">
        <v>240</v>
      </c>
      <c r="B15" s="152">
        <f>'M2 PROYECTADO NUEVO'!J59</f>
        <v>29614130.775834452</v>
      </c>
    </row>
    <row r="16" spans="1:7">
      <c r="A16" s="137" t="s">
        <v>241</v>
      </c>
      <c r="B16" s="153">
        <f>(B14-B13)/B13*100</f>
        <v>-11.716777417197767</v>
      </c>
    </row>
    <row r="17" spans="1:17">
      <c r="A17" s="137" t="s">
        <v>242</v>
      </c>
      <c r="B17" s="153">
        <f>(B15-B13)/B13*100</f>
        <v>-54.993722225175603</v>
      </c>
    </row>
    <row r="19" spans="1:17">
      <c r="A19" s="136" t="s">
        <v>243</v>
      </c>
      <c r="B19" s="133"/>
      <c r="C19" s="133"/>
      <c r="D19" s="133"/>
      <c r="E19" s="133"/>
      <c r="F19" s="133"/>
      <c r="G19" s="133"/>
    </row>
    <row r="20" spans="1:17">
      <c r="A20" s="139" t="s">
        <v>22</v>
      </c>
      <c r="B20" s="139" t="s">
        <v>158</v>
      </c>
      <c r="C20" s="139" t="s">
        <v>163</v>
      </c>
      <c r="D20" s="139" t="s">
        <v>168</v>
      </c>
    </row>
    <row r="21" spans="1:17">
      <c r="A21" s="137" t="s">
        <v>244</v>
      </c>
      <c r="B21" s="154">
        <v>1.1000000000000001</v>
      </c>
      <c r="C21" s="154">
        <v>1.2</v>
      </c>
      <c r="D21" s="154">
        <v>0.9</v>
      </c>
    </row>
    <row r="22" spans="1:17">
      <c r="A22" s="137" t="s">
        <v>245</v>
      </c>
      <c r="B22" s="154">
        <v>-0.45</v>
      </c>
      <c r="C22" s="154">
        <v>-0.3</v>
      </c>
      <c r="D22" s="154">
        <v>-0.6</v>
      </c>
    </row>
    <row r="23" spans="1:17">
      <c r="A23" s="137" t="s">
        <v>246</v>
      </c>
      <c r="B23" s="154">
        <v>-0.02</v>
      </c>
      <c r="C23" s="154">
        <v>-0.01</v>
      </c>
      <c r="D23" s="154">
        <v>-0.04</v>
      </c>
    </row>
    <row r="24" spans="1:17">
      <c r="A24" s="137" t="s">
        <v>247</v>
      </c>
      <c r="B24" s="154">
        <v>15.2</v>
      </c>
      <c r="C24" s="154">
        <v>17</v>
      </c>
      <c r="D24" s="154">
        <v>13</v>
      </c>
    </row>
    <row r="25" spans="1:17">
      <c r="A25" s="137" t="s">
        <v>248</v>
      </c>
      <c r="B25" s="154">
        <v>6.58</v>
      </c>
      <c r="C25" s="154">
        <v>5.88</v>
      </c>
      <c r="D25" s="154">
        <v>7.69</v>
      </c>
    </row>
    <row r="26" spans="1:17">
      <c r="A26" s="137" t="s">
        <v>249</v>
      </c>
      <c r="B26" s="154">
        <v>2.5</v>
      </c>
      <c r="C26" s="154">
        <v>2.5</v>
      </c>
      <c r="D26" s="154">
        <v>2.5</v>
      </c>
    </row>
    <row r="28" spans="1:17">
      <c r="A28" s="136" t="s">
        <v>250</v>
      </c>
      <c r="B28" s="136"/>
      <c r="C28" s="136"/>
      <c r="D28" s="136"/>
      <c r="E28" s="136"/>
      <c r="F28" s="136"/>
      <c r="G28" s="136"/>
    </row>
    <row r="29" spans="1:17">
      <c r="A29" s="139" t="s">
        <v>56</v>
      </c>
      <c r="B29" s="139" t="s">
        <v>251</v>
      </c>
      <c r="C29" s="139" t="s">
        <v>252</v>
      </c>
      <c r="D29" s="139" t="s">
        <v>253</v>
      </c>
      <c r="E29" s="139" t="s">
        <v>254</v>
      </c>
      <c r="F29" s="139" t="s">
        <v>255</v>
      </c>
      <c r="G29" s="139" t="s">
        <v>257</v>
      </c>
      <c r="H29" s="138" t="s">
        <v>255</v>
      </c>
      <c r="I29" s="138" t="s">
        <v>257</v>
      </c>
      <c r="K29" s="158" t="s">
        <v>56</v>
      </c>
      <c r="L29" s="158" t="s">
        <v>255</v>
      </c>
      <c r="M29" s="158" t="s">
        <v>257</v>
      </c>
      <c r="O29" s="158" t="s">
        <v>56</v>
      </c>
      <c r="P29" s="158" t="s">
        <v>258</v>
      </c>
      <c r="Q29" s="158" t="s">
        <v>259</v>
      </c>
    </row>
    <row r="30" spans="1:17">
      <c r="A30" s="155" t="s">
        <v>64</v>
      </c>
      <c r="B30" s="141">
        <f>IF('M2 PROYECTADO NUEVO'!E12=0,"",'M2 PROYECTADO NUEVO'!E12)</f>
        <v>5823099.8511935482</v>
      </c>
      <c r="C30" s="141">
        <f>'M2 PROYECTADO NUEVO'!J12</f>
        <v>5823099.8511935482</v>
      </c>
      <c r="D30" s="141">
        <f>'M2 PROYECTADO NUEVO'!N12</f>
        <v>5823099.8511935482</v>
      </c>
      <c r="E30" s="141">
        <f>'M2 PROYECTADO NUEVO'!O12</f>
        <v>5823099.8511935482</v>
      </c>
      <c r="F30" s="63">
        <f>'M2 PROYECTADO NUEVO'!H12</f>
        <v>8.4191180697714287</v>
      </c>
      <c r="G30" s="157">
        <v>15.2</v>
      </c>
      <c r="H30" s="63">
        <f>'M2 PROYECTADO NUEVO'!J12</f>
        <v>5823099.8511935482</v>
      </c>
      <c r="I30" s="157">
        <v>15.2</v>
      </c>
      <c r="K30" s="159" t="s">
        <v>64</v>
      </c>
      <c r="L30" s="63">
        <f>F30</f>
        <v>8.4191180697714287</v>
      </c>
      <c r="M30" s="63">
        <v>15.2</v>
      </c>
      <c r="O30" s="159" t="s">
        <v>64</v>
      </c>
      <c r="P30" s="161">
        <f>'M2 PROYECTADO NUEVO'!I12</f>
        <v>0.11877728661277095</v>
      </c>
      <c r="Q30" s="161">
        <f>'M2 PROYECTADO NUEVO'!L12</f>
        <v>0.11877728661277095</v>
      </c>
    </row>
    <row r="31" spans="1:17">
      <c r="A31" s="156">
        <v>46225</v>
      </c>
      <c r="B31" s="141">
        <f>IF('M2 PROYECTADO NUEVO'!E18=0,"",'M2 PROYECTADO NUEVO'!E18)</f>
        <v>7131333.5356451599</v>
      </c>
      <c r="C31" s="141">
        <f>'M2 PROYECTADO NUEVO'!J18</f>
        <v>7471290.7892356198</v>
      </c>
      <c r="D31" s="141">
        <f>'M2 PROYECTADO NUEVO'!N18</f>
        <v>7960845.4930923171</v>
      </c>
      <c r="E31" s="141">
        <f>'M2 PROYECTADO NUEVO'!O18</f>
        <v>6568158.9488390228</v>
      </c>
      <c r="F31" s="63">
        <f>'M2 PROYECTADO NUEVO'!H18</f>
        <v>9.8029919455164993</v>
      </c>
      <c r="G31" s="157">
        <v>15.2</v>
      </c>
      <c r="H31" s="63">
        <f>'M2 PROYECTADO NUEVO'!J18</f>
        <v>7471290.7892356198</v>
      </c>
      <c r="I31" s="157">
        <v>15.2</v>
      </c>
      <c r="K31" s="160">
        <v>46225</v>
      </c>
      <c r="L31" s="63">
        <f>F31</f>
        <v>9.8029919455164993</v>
      </c>
      <c r="M31" s="63">
        <v>15.2</v>
      </c>
      <c r="O31" s="160">
        <v>46225</v>
      </c>
      <c r="P31" s="161">
        <f>'M2 PROYECTADO NUEVO'!I18</f>
        <v>0.10200967271602834</v>
      </c>
      <c r="Q31" s="161">
        <f>'M2 PROYECTADO NUEVO'!L18</f>
        <v>9.7368047974803321E-2</v>
      </c>
    </row>
    <row r="32" spans="1:17">
      <c r="A32" s="155" t="s">
        <v>77</v>
      </c>
      <c r="B32" s="141">
        <f>IF('M2 PROYECTADO NUEVO'!E24=0,"",'M2 PROYECTADO NUEVO'!E24)</f>
        <v>9165144.5520967729</v>
      </c>
      <c r="C32" s="141">
        <f>'M2 PROYECTADO NUEVO'!J24</f>
        <v>9353671.2733309679</v>
      </c>
      <c r="D32" s="141">
        <f>'M2 PROYECTADO NUEVO'!N24</f>
        <v>10592584.638095869</v>
      </c>
      <c r="E32" s="141">
        <f>'M2 PROYECTADO NUEVO'!O24</f>
        <v>7265861.8883168679</v>
      </c>
      <c r="F32" s="63">
        <f>'M2 PROYECTADO NUEVO'!H24</f>
        <v>13.060970974315643</v>
      </c>
      <c r="G32" s="157">
        <v>15.2</v>
      </c>
      <c r="H32" s="63">
        <f>'M2 PROYECTADO NUEVO'!J24</f>
        <v>9353671.2733309679</v>
      </c>
      <c r="I32" s="157">
        <v>15.2</v>
      </c>
      <c r="K32" s="159" t="s">
        <v>77</v>
      </c>
      <c r="L32" s="63">
        <f>F32</f>
        <v>13.060970974315643</v>
      </c>
      <c r="M32" s="63">
        <v>15.2</v>
      </c>
      <c r="O32" s="159" t="s">
        <v>77</v>
      </c>
      <c r="P32" s="161">
        <f>'M2 PROYECTADO NUEVO'!I24</f>
        <v>7.6563986090046193E-2</v>
      </c>
      <c r="Q32" s="161">
        <f>'M2 PROYECTADO NUEVO'!L24</f>
        <v>7.5020810491890216E-2</v>
      </c>
    </row>
    <row r="33" spans="1:17">
      <c r="A33" s="156">
        <v>46226</v>
      </c>
      <c r="B33" s="141">
        <f>IF('M2 PROYECTADO NUEVO'!E30=0,"",'M2 PROYECTADO NUEVO'!E30)</f>
        <v>12016717.606838711</v>
      </c>
      <c r="C33" s="141">
        <f>'M2 PROYECTADO NUEVO'!J30</f>
        <v>10197034.094341299</v>
      </c>
      <c r="D33" s="141">
        <f>'M2 PROYECTADO NUEVO'!N30</f>
        <v>12038004.602327725</v>
      </c>
      <c r="E33" s="141">
        <f>'M2 PROYECTADO NUEVO'!O30</f>
        <v>7272610.3254366061</v>
      </c>
      <c r="F33" s="63">
        <f>'M2 PROYECTADO NUEVO'!H30</f>
        <v>16.657773080282333</v>
      </c>
      <c r="G33" s="157">
        <v>15.2</v>
      </c>
      <c r="H33" s="63">
        <f>'M2 PROYECTADO NUEVO'!J30</f>
        <v>10197034.094341299</v>
      </c>
      <c r="I33" s="157">
        <v>15.2</v>
      </c>
      <c r="K33" s="160">
        <v>46226</v>
      </c>
      <c r="L33" s="63">
        <f>F33</f>
        <v>16.657773080282333</v>
      </c>
      <c r="M33" s="63">
        <v>15.2</v>
      </c>
      <c r="O33" s="160">
        <v>46226</v>
      </c>
      <c r="P33" s="161">
        <f>'M2 PROYECTADO NUEVO'!I30</f>
        <v>6.0032034004814952E-2</v>
      </c>
      <c r="Q33" s="161">
        <f>'M2 PROYECTADO NUEVO'!L30</f>
        <v>7.0744884573870764E-2</v>
      </c>
    </row>
    <row r="34" spans="1:17">
      <c r="A34" s="155" t="s">
        <v>89</v>
      </c>
      <c r="B34" s="141">
        <f>IF('M2 PROYECTADO NUEVO'!E36=0,"",'M2 PROYECTADO NUEVO'!E36)</f>
        <v>19351531.77125806</v>
      </c>
      <c r="C34" s="141">
        <f>'M2 PROYECTADO NUEVO'!J36</f>
        <v>20074720.377052434</v>
      </c>
      <c r="D34" s="141">
        <f>'M2 PROYECTADO NUEVO'!N36</f>
        <v>25061957.869555105</v>
      </c>
      <c r="E34" s="141">
        <f>'M2 PROYECTADO NUEVO'!O36</f>
        <v>12777372.501504196</v>
      </c>
      <c r="F34" s="63">
        <f>'M2 PROYECTADO NUEVO'!H36</f>
        <v>28.940202118611129</v>
      </c>
      <c r="G34" s="157">
        <v>15.2</v>
      </c>
      <c r="H34" s="63">
        <f>'M2 PROYECTADO NUEVO'!J36</f>
        <v>20074720.377052434</v>
      </c>
      <c r="I34" s="157">
        <v>15.2</v>
      </c>
      <c r="K34" s="159" t="s">
        <v>89</v>
      </c>
      <c r="L34" s="63">
        <f>F34</f>
        <v>28.940202118611129</v>
      </c>
      <c r="M34" s="63">
        <v>15.2</v>
      </c>
      <c r="O34" s="159" t="s">
        <v>89</v>
      </c>
      <c r="P34" s="161">
        <f>'M2 PROYECTADO NUEVO'!I36</f>
        <v>3.4554008845602044E-2</v>
      </c>
      <c r="Q34" s="161">
        <f>'M2 PROYECTADO NUEVO'!L36</f>
        <v>3.3309206177754049E-2</v>
      </c>
    </row>
    <row r="35" spans="1:17">
      <c r="A35" s="156">
        <v>46227</v>
      </c>
      <c r="B35" s="141">
        <f>IF('M2 PROYECTADO NUEVO'!E42=0,"",'M2 PROYECTADO NUEVO'!E42)</f>
        <v>33612279.861677423</v>
      </c>
      <c r="C35" s="141">
        <f>'M2 PROYECTADO NUEVO'!J42</f>
        <v>25731996.849005993</v>
      </c>
      <c r="D35" s="141">
        <f>'M2 PROYECTADO NUEVO'!N42</f>
        <v>34188282.192692697</v>
      </c>
      <c r="E35" s="141">
        <f>'M2 PROYECTADO NUEVO'!O42</f>
        <v>14432842.477619292</v>
      </c>
      <c r="F35" s="63">
        <f>'M2 PROYECTADO NUEVO'!H42</f>
        <v>47.437651256959455</v>
      </c>
      <c r="G35" s="157">
        <v>15.2</v>
      </c>
      <c r="H35" s="63">
        <f>'M2 PROYECTADO NUEVO'!J42</f>
        <v>25731996.849005993</v>
      </c>
      <c r="I35" s="157">
        <v>15.2</v>
      </c>
      <c r="K35" s="160">
        <v>46227</v>
      </c>
      <c r="L35" s="63">
        <f>F35</f>
        <v>47.437651256959455</v>
      </c>
      <c r="M35" s="63">
        <v>15.2</v>
      </c>
      <c r="O35" s="160">
        <v>46227</v>
      </c>
      <c r="P35" s="161">
        <f>'M2 PROYECTADO NUEVO'!I42</f>
        <v>2.1080301690807098E-2</v>
      </c>
      <c r="Q35" s="161">
        <f>'M2 PROYECTADO NUEVO'!L42</f>
        <v>2.7536028554557009E-2</v>
      </c>
    </row>
    <row r="36" spans="1:17">
      <c r="A36" s="155" t="s">
        <v>100</v>
      </c>
      <c r="B36" s="141">
        <f>IF('M2 PROYECTADO NUEVO'!E47=0,"",'M2 PROYECTADO NUEVO'!E47)</f>
        <v>43507037.475419357</v>
      </c>
      <c r="C36" s="141">
        <f>'M2 PROYECTADO NUEVO'!J47</f>
        <v>27834412.093705699</v>
      </c>
      <c r="D36" s="141">
        <f>'M2 PROYECTADO NUEVO'!N47</f>
        <v>39003907.631785959</v>
      </c>
      <c r="E36" s="141">
        <f>'M2 PROYECTADO NUEVO'!O47</f>
        <v>14012980.422574405</v>
      </c>
      <c r="F36" s="63">
        <f>'M2 PROYECTADO NUEVO'!H47</f>
        <v>61.214147995271595</v>
      </c>
      <c r="G36" s="157">
        <v>15.2</v>
      </c>
      <c r="H36" s="63">
        <f>'M2 PROYECTADO NUEVO'!J47</f>
        <v>27834412.093705699</v>
      </c>
      <c r="I36" s="157">
        <v>15.2</v>
      </c>
      <c r="K36" s="159" t="s">
        <v>100</v>
      </c>
      <c r="L36" s="63">
        <f>F36</f>
        <v>61.214147995271595</v>
      </c>
      <c r="M36" s="63">
        <v>15.2</v>
      </c>
      <c r="O36" s="159" t="s">
        <v>100</v>
      </c>
      <c r="P36" s="161">
        <f>'M2 PROYECTADO NUEVO'!I47</f>
        <v>1.6336092762039973E-2</v>
      </c>
      <c r="Q36" s="161">
        <f>'M2 PROYECTADO NUEVO'!L47</f>
        <v>2.5534399562932433E-2</v>
      </c>
    </row>
    <row r="37" spans="1:17">
      <c r="A37" s="156">
        <v>46198</v>
      </c>
      <c r="B37" s="141">
        <f>IF('M2 PROYECTADO NUEVO'!E53=0,"",'M2 PROYECTADO NUEVO'!E53)</f>
        <v>50512401.163000003</v>
      </c>
      <c r="C37" s="141">
        <f>'M2 PROYECTADO NUEVO'!J53</f>
        <v>28368317.925072152</v>
      </c>
      <c r="D37" s="141">
        <f>'M2 PROYECTADO NUEVO'!N53</f>
        <v>42245894.899870962</v>
      </c>
      <c r="E37" s="141">
        <f>'M2 PROYECTADO NUEVO'!O53</f>
        <v>12621321.85323061</v>
      </c>
      <c r="F37" s="63">
        <f>'M2 PROYECTADO NUEVO'!H53</f>
        <v>65.048956527058237</v>
      </c>
      <c r="G37" s="157">
        <v>15.2</v>
      </c>
      <c r="H37" s="63">
        <f>'M2 PROYECTADO NUEVO'!J53</f>
        <v>28368317.925072152</v>
      </c>
      <c r="I37" s="157">
        <v>15.2</v>
      </c>
      <c r="K37" s="160">
        <v>46198</v>
      </c>
      <c r="L37" s="63">
        <f>F37</f>
        <v>65.048956527058237</v>
      </c>
      <c r="M37" s="63">
        <v>15.2</v>
      </c>
      <c r="O37" s="160">
        <v>46198</v>
      </c>
      <c r="P37" s="161">
        <f>'M2 PROYECTADO NUEVO'!I53</f>
        <v>1.5373036761689371E-2</v>
      </c>
      <c r="Q37" s="161">
        <f>'M2 PROYECTADO NUEVO'!L53</f>
        <v>2.7373106930449947E-2</v>
      </c>
    </row>
    <row r="38" spans="1:17">
      <c r="A38" s="155" t="s">
        <v>112</v>
      </c>
      <c r="B38" s="141">
        <f>IF('M2 PROYECTADO NUEVO'!E59=0,"",'M2 PROYECTADO NUEVO'!E59)</f>
        <v>58090360.459483869</v>
      </c>
      <c r="C38" s="141">
        <f>'M2 PROYECTADO NUEVO'!J59</f>
        <v>29614130.775834452</v>
      </c>
      <c r="D38" s="141">
        <f>'M2 PROYECTADO NUEVO'!N59</f>
        <v>47000063.286051668</v>
      </c>
      <c r="E38" s="141">
        <f>'M2 PROYECTADO NUEVO'!O59</f>
        <v>11578381.445639627</v>
      </c>
      <c r="F38" s="63">
        <f>'M2 PROYECTADO NUEVO'!H59</f>
        <v>75.192291654234054</v>
      </c>
      <c r="G38" s="157">
        <v>15.2</v>
      </c>
      <c r="H38" s="63">
        <f>'M2 PROYECTADO NUEVO'!J59</f>
        <v>29614130.775834452</v>
      </c>
      <c r="I38" s="157">
        <v>15.2</v>
      </c>
      <c r="K38" s="159" t="s">
        <v>112</v>
      </c>
      <c r="L38" s="63">
        <f>F38</f>
        <v>75.192291654234054</v>
      </c>
      <c r="M38" s="63">
        <v>15.2</v>
      </c>
      <c r="O38" s="159" t="s">
        <v>112</v>
      </c>
      <c r="P38" s="161">
        <f>'M2 PROYECTADO NUEVO'!I59</f>
        <v>1.3299235573221026E-2</v>
      </c>
      <c r="Q38" s="161">
        <f>'M2 PROYECTADO NUEVO'!L59</f>
        <v>2.6087457846793116E-2</v>
      </c>
    </row>
    <row r="39" spans="1:17">
      <c r="A39" s="156">
        <v>46107</v>
      </c>
      <c r="B39" s="141">
        <f>IF('M2 PROYECTADO NUEVO'!E62=0,"",'M2 PROYECTADO NUEVO'!E62)</f>
        <v>59100640</v>
      </c>
      <c r="C39" s="141">
        <f>'M2 PROYECTADO NUEVO'!J62</f>
        <v>30637839.785378717</v>
      </c>
      <c r="D39" s="141">
        <f>'M2 PROYECTADO NUEVO'!N62</f>
        <v>50178394.535488836</v>
      </c>
      <c r="E39" s="141">
        <f>'M2 PROYECTADO NUEVO'!O62</f>
        <v>11237720.03610063</v>
      </c>
      <c r="F39" s="63">
        <f>'M2 PROYECTADO NUEVO'!H62</f>
        <v>74.488802080133027</v>
      </c>
      <c r="G39" s="157">
        <v>15.2</v>
      </c>
      <c r="H39" s="63">
        <f>'M2 PROYECTADO NUEVO'!J62</f>
        <v>30637839.785378717</v>
      </c>
      <c r="I39" s="157">
        <v>15.2</v>
      </c>
      <c r="K39" s="160">
        <v>46107</v>
      </c>
      <c r="L39" s="63">
        <f>F39</f>
        <v>74.488802080133027</v>
      </c>
      <c r="M39" s="63">
        <v>15.2</v>
      </c>
      <c r="O39" s="160">
        <v>46107</v>
      </c>
      <c r="P39" s="161">
        <f>'M2 PROYECTADO NUEVO'!I62</f>
        <v>1.3424836647583984E-2</v>
      </c>
      <c r="Q39" s="161">
        <f>'M2 PROYECTADO NUEVO'!L62</f>
        <v>2.5896618146893952E-2</v>
      </c>
    </row>
    <row r="40" spans="1:17">
      <c r="A40" s="156">
        <v>46199</v>
      </c>
      <c r="B40" s="141" t="str">
        <f>IF('M2 PROYECTADO NUEVO'!E65=0,"",'M2 PROYECTADO NUEVO'!E65)</f>
        <v/>
      </c>
      <c r="C40" s="141">
        <f>'M2 PROYECTADO NUEVO'!J65</f>
        <v>31076700.0601939</v>
      </c>
      <c r="D40" s="141">
        <f>'M2 PROYECTADO NUEVO'!N65</f>
        <v>52516703.127232544</v>
      </c>
      <c r="E40" s="141">
        <f>'M2 PROYECTADO NUEVO'!O65</f>
        <v>10696383.083817562</v>
      </c>
      <c r="F40" s="63">
        <f>'M2 PROYECTADO NUEVO'!H65</f>
        <v>0</v>
      </c>
      <c r="G40" s="157">
        <v>15.2</v>
      </c>
      <c r="H40" s="63">
        <f>'M2 PROYECTADO NUEVO'!J65</f>
        <v>31076700.0601939</v>
      </c>
      <c r="I40" s="157">
        <v>15.2</v>
      </c>
      <c r="K40" s="160">
        <v>46199</v>
      </c>
      <c r="L40" s="63">
        <f>F40</f>
        <v>0</v>
      </c>
      <c r="M40" s="63">
        <v>15.2</v>
      </c>
      <c r="O40" s="160">
        <v>46199</v>
      </c>
      <c r="P40" s="161" t="str">
        <f>'M2 PROYECTADO NUEVO'!I65</f>
        <v/>
      </c>
      <c r="Q40" s="161">
        <f>'M2 PROYECTADO NUEVO'!L65</f>
        <v>2.6091443860833199E-2</v>
      </c>
    </row>
    <row r="41" spans="1:17">
      <c r="A41" s="156">
        <v>46291</v>
      </c>
      <c r="B41" s="141" t="str">
        <f>IF('M2 PROYECTADO NUEVO'!E68=0,"",'M2 PROYECTADO NUEVO'!E68)</f>
        <v/>
      </c>
      <c r="C41" s="141">
        <f>'M2 PROYECTADO NUEVO'!J68</f>
        <v>31031122.055868197</v>
      </c>
      <c r="D41" s="141">
        <f>'M2 PROYECTADO NUEVO'!N68</f>
        <v>54108310.6423354</v>
      </c>
      <c r="E41" s="141">
        <f>'M2 PROYECTADO NUEVO'!O68</f>
        <v>10022625.812844262</v>
      </c>
      <c r="F41" s="63">
        <f>'M2 PROYECTADO NUEVO'!H68</f>
        <v>0</v>
      </c>
      <c r="G41" s="157">
        <v>15.2</v>
      </c>
      <c r="H41" s="63">
        <f>'M2 PROYECTADO NUEVO'!J68</f>
        <v>31031122.055868197</v>
      </c>
      <c r="I41" s="157">
        <v>15.2</v>
      </c>
      <c r="K41" s="160">
        <v>46291</v>
      </c>
      <c r="L41" s="63">
        <f>F41</f>
        <v>0</v>
      </c>
      <c r="M41" s="63">
        <v>15.2</v>
      </c>
      <c r="O41" s="160">
        <v>46291</v>
      </c>
      <c r="P41" s="161" t="str">
        <f>'M2 PROYECTADO NUEVO'!I68</f>
        <v/>
      </c>
      <c r="Q41" s="161">
        <f>'M2 PROYECTADO NUEVO'!L68</f>
        <v>2.6598626012681873E-2</v>
      </c>
    </row>
    <row r="42" spans="1:17">
      <c r="A42" s="155" t="s">
        <v>256</v>
      </c>
      <c r="B42" s="141" t="str">
        <f>IF('M2 PROYECTADO NUEVO'!E71=0,"",'M2 PROYECTADO NUEVO'!E71)</f>
        <v/>
      </c>
      <c r="C42" s="141">
        <f>'M2 PROYECTADO NUEVO'!J71</f>
        <v>31753886.338689171</v>
      </c>
      <c r="D42" s="141">
        <f>'M2 PROYECTADO NUEVO'!N71</f>
        <v>57130407.01115147</v>
      </c>
      <c r="E42" s="141">
        <f>'M2 PROYECTADO NUEVO'!O71</f>
        <v>9624161.6232391782</v>
      </c>
      <c r="F42" s="63">
        <f>'M2 PROYECTADO NUEVO'!H71</f>
        <v>0</v>
      </c>
      <c r="G42" s="157">
        <v>15.2</v>
      </c>
      <c r="H42" s="63">
        <f>'M2 PROYECTADO NUEVO'!J71</f>
        <v>31753886.338689171</v>
      </c>
      <c r="I42" s="157">
        <v>15.2</v>
      </c>
      <c r="K42" s="159" t="s">
        <v>256</v>
      </c>
      <c r="L42" s="63">
        <f>F42</f>
        <v>0</v>
      </c>
      <c r="M42" s="63">
        <v>15.2</v>
      </c>
      <c r="O42" s="159" t="s">
        <v>256</v>
      </c>
      <c r="P42" s="161" t="str">
        <f>'M2 PROYECTADO NUEVO'!I71</f>
        <v/>
      </c>
      <c r="Q42" s="161">
        <f>'M2 PROYECTADO NUEVO'!L71</f>
        <v>2.6720297763356094E-2</v>
      </c>
    </row>
    <row r="44" spans="1:17">
      <c r="A44" s="133"/>
      <c r="B44" s="133"/>
      <c r="C44" s="133"/>
      <c r="D44" s="133"/>
      <c r="E44" s="133"/>
      <c r="F44" s="133"/>
      <c r="G44" s="133"/>
    </row>
    <row r="75" spans="1:7">
      <c r="A75" s="136" t="s">
        <v>260</v>
      </c>
      <c r="B75" s="133"/>
      <c r="C75" s="133"/>
      <c r="D75" s="133"/>
      <c r="E75" s="133"/>
      <c r="F75" s="133"/>
      <c r="G75" s="133"/>
    </row>
    <row r="76" spans="1:7">
      <c r="A76" s="206" t="s">
        <v>261</v>
      </c>
      <c r="B76" s="133"/>
      <c r="C76" s="133"/>
      <c r="D76" s="133"/>
      <c r="E76" s="133"/>
      <c r="F76" s="133"/>
      <c r="G76" s="133"/>
    </row>
    <row r="77" spans="1:7">
      <c r="A77" s="206"/>
      <c r="B77" s="133"/>
      <c r="C77" s="133"/>
      <c r="D77" s="133"/>
      <c r="E77" s="133"/>
      <c r="F77" s="133"/>
      <c r="G77" s="133"/>
    </row>
    <row r="78" spans="1:7">
      <c r="A78" s="206"/>
      <c r="B78" s="133"/>
      <c r="C78" s="133"/>
      <c r="D78" s="133"/>
      <c r="E78" s="133"/>
      <c r="F78" s="133"/>
      <c r="G78" s="133"/>
    </row>
    <row r="79" spans="1:7">
      <c r="A79" s="206"/>
      <c r="B79" s="133"/>
      <c r="C79" s="133"/>
      <c r="D79" s="133"/>
      <c r="E79" s="133"/>
      <c r="F79" s="133"/>
      <c r="G79" s="133"/>
    </row>
    <row r="80" spans="1:7">
      <c r="A80" s="206"/>
      <c r="B80" s="133"/>
      <c r="C80" s="133"/>
      <c r="D80" s="133"/>
      <c r="E80" s="133"/>
      <c r="F80" s="133"/>
      <c r="G80" s="133"/>
    </row>
  </sheetData>
  <mergeCells count="9">
    <mergeCell ref="A44:G44"/>
    <mergeCell ref="A75:G75"/>
    <mergeCell ref="A76:G80"/>
    <mergeCell ref="A1:G1"/>
    <mergeCell ref="A2:G2"/>
    <mergeCell ref="A4:G4"/>
    <mergeCell ref="A12:G12"/>
    <mergeCell ref="A19:G19"/>
    <mergeCell ref="A28:G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AD47"/>
  </sheetPr>
  <dimension ref="A1:B17"/>
  <sheetViews>
    <sheetView showGridLines="0" zoomScaleNormal="100" workbookViewId="0"/>
  </sheetViews>
  <sheetFormatPr baseColWidth="10" defaultColWidth="8.6640625" defaultRowHeight="15"/>
  <cols>
    <col min="1" max="1" width="28" customWidth="1"/>
    <col min="2" max="2" width="60" customWidth="1"/>
  </cols>
  <sheetData>
    <row r="1" spans="1:2" ht="39.75" customHeight="1">
      <c r="A1" s="74" t="s">
        <v>180</v>
      </c>
      <c r="B1" s="74"/>
    </row>
    <row r="3" spans="1:2" ht="21.75" customHeight="1">
      <c r="A3" s="34" t="s">
        <v>181</v>
      </c>
      <c r="B3" s="35" t="s">
        <v>182</v>
      </c>
    </row>
    <row r="4" spans="1:2" ht="21.75" customHeight="1">
      <c r="A4" s="36" t="s">
        <v>183</v>
      </c>
      <c r="B4" s="37" t="s">
        <v>184</v>
      </c>
    </row>
    <row r="5" spans="1:2" ht="21.75" customHeight="1">
      <c r="A5" s="38" t="s">
        <v>185</v>
      </c>
      <c r="B5" s="39" t="s">
        <v>186</v>
      </c>
    </row>
    <row r="6" spans="1:2" ht="21.75" customHeight="1">
      <c r="A6" s="36" t="s">
        <v>187</v>
      </c>
      <c r="B6" s="37" t="s">
        <v>188</v>
      </c>
    </row>
    <row r="7" spans="1:2" ht="21.75" customHeight="1">
      <c r="A7" s="38" t="s">
        <v>189</v>
      </c>
      <c r="B7" s="39" t="s">
        <v>190</v>
      </c>
    </row>
    <row r="8" spans="1:2" ht="21.75" customHeight="1">
      <c r="A8" s="36" t="s">
        <v>191</v>
      </c>
      <c r="B8" s="37" t="s">
        <v>192</v>
      </c>
    </row>
    <row r="9" spans="1:2" ht="21.75" customHeight="1">
      <c r="A9" s="38" t="s">
        <v>193</v>
      </c>
      <c r="B9" s="39" t="s">
        <v>194</v>
      </c>
    </row>
    <row r="10" spans="1:2" ht="21.75" customHeight="1">
      <c r="A10" s="36" t="s">
        <v>195</v>
      </c>
      <c r="B10" s="37" t="s">
        <v>196</v>
      </c>
    </row>
    <row r="11" spans="1:2" ht="21.75" customHeight="1">
      <c r="A11" s="38" t="s">
        <v>197</v>
      </c>
      <c r="B11" s="39" t="s">
        <v>198</v>
      </c>
    </row>
    <row r="12" spans="1:2" ht="21.75" customHeight="1">
      <c r="A12" s="36" t="s">
        <v>199</v>
      </c>
      <c r="B12" s="37" t="s">
        <v>200</v>
      </c>
    </row>
    <row r="13" spans="1:2" ht="21.75" customHeight="1">
      <c r="A13" s="38" t="s">
        <v>201</v>
      </c>
      <c r="B13" s="39" t="s">
        <v>202</v>
      </c>
    </row>
    <row r="14" spans="1:2" ht="21.75" customHeight="1">
      <c r="A14" s="36" t="s">
        <v>16</v>
      </c>
      <c r="B14" s="37" t="s">
        <v>203</v>
      </c>
    </row>
    <row r="15" spans="1:2" ht="21.75" customHeight="1">
      <c r="A15" s="38" t="s">
        <v>204</v>
      </c>
      <c r="B15" s="39" t="s">
        <v>205</v>
      </c>
    </row>
    <row r="16" spans="1:2" ht="21.75" customHeight="1">
      <c r="A16" s="36" t="s">
        <v>206</v>
      </c>
      <c r="B16" s="37" t="s">
        <v>207</v>
      </c>
    </row>
    <row r="17" spans="1:2" ht="21.75" customHeight="1">
      <c r="A17" s="38" t="s">
        <v>208</v>
      </c>
      <c r="B17" s="39" t="s">
        <v>209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Supuestos</vt:lpstr>
      <vt:lpstr>M2_Historico</vt:lpstr>
      <vt:lpstr>M2_Proyeccion</vt:lpstr>
      <vt:lpstr>M2 PROYECTADO NUEVO</vt:lpstr>
      <vt:lpstr>Escenarios</vt:lpstr>
      <vt:lpstr>Dashboard</vt:lpstr>
      <vt:lpstr>Glosario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santiago Murcia</cp:lastModifiedBy>
  <cp:revision>0</cp:revision>
  <dcterms:created xsi:type="dcterms:W3CDTF">2026-03-16T16:48:26Z</dcterms:created>
  <dcterms:modified xsi:type="dcterms:W3CDTF">2026-03-18T16:12:55Z</dcterms:modified>
  <dc:language>en-US</dc:language>
</cp:coreProperties>
</file>